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1 work files\PB2021\"/>
    </mc:Choice>
  </mc:AlternateContent>
  <bookViews>
    <workbookView xWindow="0" yWindow="0" windowWidth="9930" windowHeight="8580" tabRatio="913" activeTab="8"/>
  </bookViews>
  <sheets>
    <sheet name="T2.5" sheetId="169" r:id="rId1"/>
    <sheet name="motorway" sheetId="107" r:id="rId2"/>
    <sheet name="length_road" sheetId="108" r:id="rId3"/>
    <sheet name="rail_length" sheetId="104" r:id="rId4"/>
    <sheet name="rail_hs" sheetId="170" r:id="rId5"/>
    <sheet name="rail_gauge" sheetId="106" r:id="rId6"/>
    <sheet name="airports" sheetId="166" r:id="rId7"/>
    <sheet name="length_iww" sheetId="110" r:id="rId8"/>
    <sheet name="length_oil" sheetId="10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airports!$B$1:$I$44</definedName>
    <definedName name="_xlnm.Print_Area" localSheetId="7">length_iww!$B$1:$S$45</definedName>
    <definedName name="_xlnm.Print_Area" localSheetId="8">length_oil!$B$1:$W$47</definedName>
    <definedName name="_xlnm.Print_Area" localSheetId="2">length_road!#REF!</definedName>
    <definedName name="_xlnm.Print_Area" localSheetId="1">motorway!$B$1:$W$51</definedName>
    <definedName name="_xlnm.Print_Area" localSheetId="5">rail_gauge!$B$1:$G$48</definedName>
    <definedName name="_xlnm.Print_Area" localSheetId="4">rail_hs!$B$1:$L$82</definedName>
    <definedName name="_xlnm.Print_Area" localSheetId="3">rail_length!$B$1:$AF$46</definedName>
    <definedName name="_xlnm.Print_Area" localSheetId="0">'T2.5'!$A$1:$E$23</definedName>
    <definedName name="Z_534C28F4_E90D_11D3_A4B3_0050041AE0D6_.wvu.PrintArea" localSheetId="2" hidden="1">length_road!#REF!</definedName>
  </definedNames>
  <calcPr calcId="162913"/>
</workbook>
</file>

<file path=xl/calcChain.xml><?xml version="1.0" encoding="utf-8"?>
<calcChain xmlns="http://schemas.openxmlformats.org/spreadsheetml/2006/main">
  <c r="G44" i="170" l="1"/>
  <c r="AH17" i="109" l="1"/>
  <c r="J44" i="170" l="1"/>
  <c r="O44" i="170" s="1"/>
  <c r="M43" i="170"/>
  <c r="K43" i="170"/>
  <c r="J43" i="170"/>
  <c r="H43" i="170"/>
  <c r="G43" i="170"/>
  <c r="F43" i="170"/>
  <c r="D43" i="170"/>
  <c r="C43" i="170"/>
  <c r="M42" i="170"/>
  <c r="J42" i="170"/>
  <c r="M41" i="170"/>
  <c r="J41" i="170"/>
  <c r="H41" i="170"/>
  <c r="M40" i="170"/>
  <c r="J40" i="170"/>
  <c r="H40" i="170"/>
  <c r="G40" i="170"/>
  <c r="M39" i="170"/>
  <c r="J39" i="170"/>
  <c r="H39" i="170"/>
  <c r="G39" i="170"/>
  <c r="M38" i="170"/>
  <c r="J38" i="170"/>
  <c r="H38" i="170"/>
  <c r="G38" i="170"/>
  <c r="M37" i="170"/>
  <c r="J37" i="170"/>
  <c r="H37" i="170"/>
  <c r="G37" i="170"/>
  <c r="M36" i="170"/>
  <c r="J36" i="170"/>
  <c r="H36" i="170"/>
  <c r="G36" i="170"/>
  <c r="M35" i="170"/>
  <c r="J35" i="170"/>
  <c r="H35" i="170"/>
  <c r="G35" i="170"/>
  <c r="M34" i="170"/>
  <c r="J34" i="170"/>
  <c r="H34" i="170"/>
  <c r="G34" i="170"/>
  <c r="C34" i="170"/>
  <c r="M33" i="170"/>
  <c r="L33" i="170"/>
  <c r="J33" i="170"/>
  <c r="H33" i="170"/>
  <c r="G33" i="170"/>
  <c r="C33" i="170"/>
  <c r="M32" i="170"/>
  <c r="J32" i="170"/>
  <c r="H32" i="170"/>
  <c r="G32" i="170"/>
  <c r="C32" i="170"/>
  <c r="J31" i="170"/>
  <c r="H31" i="170"/>
  <c r="G31" i="170"/>
  <c r="C31" i="170"/>
  <c r="L30" i="170"/>
  <c r="J30" i="170"/>
  <c r="H30" i="170"/>
  <c r="G30" i="170"/>
  <c r="C30" i="170"/>
  <c r="J29" i="170"/>
  <c r="H29" i="170"/>
  <c r="G29" i="170"/>
  <c r="C29" i="170"/>
  <c r="J28" i="170"/>
  <c r="H28" i="170"/>
  <c r="G28" i="170"/>
  <c r="C28" i="170"/>
  <c r="J27" i="170"/>
  <c r="H27" i="170"/>
  <c r="G27" i="170"/>
  <c r="C27" i="170"/>
  <c r="J26" i="170"/>
  <c r="H26" i="170"/>
  <c r="G26" i="170"/>
  <c r="C26" i="170"/>
  <c r="L25" i="170"/>
  <c r="J25" i="170"/>
  <c r="H25" i="170"/>
  <c r="G25" i="170"/>
  <c r="H24" i="170"/>
  <c r="G24" i="170"/>
  <c r="H23" i="170"/>
  <c r="G23" i="170"/>
  <c r="H22" i="170"/>
  <c r="G22" i="170"/>
  <c r="D22" i="170"/>
  <c r="H21" i="170"/>
  <c r="G21" i="170"/>
  <c r="O20" i="170"/>
  <c r="H20" i="170"/>
  <c r="G20" i="170"/>
  <c r="H19" i="170"/>
  <c r="G19" i="170"/>
  <c r="H18" i="170"/>
  <c r="G18" i="170"/>
  <c r="H17" i="170"/>
  <c r="G17" i="170"/>
  <c r="H16" i="170"/>
  <c r="G16" i="170"/>
  <c r="H15" i="170"/>
  <c r="G15" i="170"/>
  <c r="H14" i="170"/>
  <c r="O14" i="170" s="1"/>
  <c r="G14" i="170"/>
  <c r="H13" i="170"/>
  <c r="G13" i="170"/>
  <c r="H12" i="170"/>
  <c r="O12" i="170" s="1"/>
  <c r="H11" i="170"/>
  <c r="O11" i="170" s="1"/>
  <c r="H10" i="170"/>
  <c r="O10" i="170" s="1"/>
  <c r="H9" i="170"/>
  <c r="O9" i="170" s="1"/>
  <c r="O8" i="170"/>
  <c r="O7" i="170"/>
  <c r="O6" i="170"/>
  <c r="O16" i="170" l="1"/>
  <c r="O18" i="170"/>
  <c r="O23" i="170"/>
  <c r="O26" i="170"/>
  <c r="O28" i="170"/>
  <c r="O42" i="170"/>
  <c r="O31" i="170"/>
  <c r="O15" i="170"/>
  <c r="O17" i="170"/>
  <c r="O19" i="170"/>
  <c r="O24" i="170"/>
  <c r="O43" i="170"/>
  <c r="O32" i="170"/>
  <c r="O37" i="170"/>
  <c r="O39" i="170"/>
  <c r="O34" i="170"/>
  <c r="O36" i="170"/>
  <c r="O22" i="170"/>
  <c r="O25" i="170"/>
  <c r="O33" i="170"/>
  <c r="O35" i="170"/>
  <c r="O13" i="170"/>
  <c r="O21" i="170"/>
  <c r="O27" i="170"/>
  <c r="O29" i="170"/>
  <c r="O30" i="170"/>
  <c r="O38" i="170"/>
  <c r="O40" i="170"/>
  <c r="O41" i="170"/>
  <c r="AD7" i="110" l="1"/>
  <c r="AD6" i="110"/>
  <c r="AR9" i="104" l="1"/>
  <c r="AR10" i="104"/>
  <c r="AR11" i="104"/>
  <c r="AR13" i="104"/>
  <c r="AR14" i="104"/>
  <c r="AR15" i="104"/>
  <c r="AR16" i="104"/>
  <c r="AR18" i="104"/>
  <c r="AR19" i="104"/>
  <c r="AR20" i="104"/>
  <c r="AR22" i="104"/>
  <c r="AR23" i="104"/>
  <c r="AR24" i="104"/>
  <c r="AR27" i="104"/>
  <c r="AR30" i="104"/>
  <c r="AR31" i="104"/>
  <c r="AR32" i="104"/>
  <c r="AR33" i="104"/>
  <c r="AR34" i="104"/>
  <c r="AR35" i="104"/>
  <c r="AR36" i="104"/>
  <c r="AR37" i="104"/>
  <c r="AR38" i="104"/>
  <c r="AR39" i="104"/>
  <c r="AR40" i="104"/>
  <c r="AR41" i="104"/>
  <c r="AR43" i="104"/>
  <c r="AC17" i="104" l="1"/>
  <c r="AQ12" i="104"/>
  <c r="AP12" i="104"/>
  <c r="AD12" i="104"/>
  <c r="AR12" i="104" l="1"/>
  <c r="AD8" i="104"/>
  <c r="AD7" i="104"/>
  <c r="AQ44" i="104"/>
  <c r="AD44" i="104"/>
  <c r="AD29" i="104"/>
  <c r="AR29" i="104" s="1"/>
  <c r="AQ28" i="104"/>
  <c r="AR28" i="104" s="1"/>
  <c r="AD28" i="104"/>
  <c r="AQ25" i="104"/>
  <c r="AD25" i="104"/>
  <c r="AQ17" i="104"/>
  <c r="AR17" i="104" s="1"/>
  <c r="AD17" i="104"/>
  <c r="D36" i="108"/>
  <c r="F35" i="108"/>
  <c r="E35" i="108"/>
  <c r="D35" i="108"/>
  <c r="AQ8" i="104" l="1"/>
  <c r="AQ7" i="104" s="1"/>
  <c r="AR7" i="104" s="1"/>
  <c r="AR25" i="104"/>
  <c r="AR44" i="104"/>
  <c r="AR8" i="104"/>
  <c r="E32" i="108"/>
  <c r="E27" i="108" l="1"/>
  <c r="D27" i="108"/>
  <c r="D22" i="108"/>
  <c r="E13" i="108" l="1"/>
  <c r="AH43" i="107" l="1"/>
  <c r="C9" i="108"/>
  <c r="C10" i="108"/>
  <c r="C11" i="108"/>
  <c r="C12" i="108"/>
  <c r="C13" i="108"/>
  <c r="C14" i="108"/>
  <c r="C17" i="108"/>
  <c r="C18" i="108"/>
  <c r="C20" i="108"/>
  <c r="C21" i="108"/>
  <c r="C22" i="108"/>
  <c r="C23" i="108"/>
  <c r="C24" i="108"/>
  <c r="C25" i="108"/>
  <c r="C26" i="108"/>
  <c r="C27" i="108"/>
  <c r="C28" i="108"/>
  <c r="C29" i="108"/>
  <c r="C30" i="108"/>
  <c r="C31" i="108"/>
  <c r="C32" i="108"/>
  <c r="C33" i="108"/>
  <c r="C34" i="108"/>
  <c r="C36" i="108"/>
  <c r="C37" i="108"/>
  <c r="C40" i="108"/>
  <c r="C42" i="108"/>
  <c r="C43" i="108"/>
  <c r="AH42" i="107"/>
  <c r="AH41" i="107"/>
  <c r="C41" i="108" s="1"/>
  <c r="AH19" i="107"/>
  <c r="C19" i="108" s="1"/>
  <c r="AH16" i="107"/>
  <c r="C16" i="108" s="1"/>
  <c r="AH15" i="107"/>
  <c r="AH6" i="107" l="1"/>
  <c r="C15" i="108"/>
  <c r="D33" i="108"/>
  <c r="D28" i="108"/>
  <c r="D13" i="108"/>
  <c r="AH11" i="109"/>
  <c r="AH7" i="109" s="1"/>
  <c r="AH6" i="109" s="1"/>
  <c r="F13" i="108" l="1"/>
  <c r="AC7" i="110"/>
  <c r="J7" i="109"/>
  <c r="AG6" i="107" l="1"/>
  <c r="D6" i="166" l="1"/>
  <c r="E6" i="166"/>
  <c r="F6" i="166"/>
  <c r="G6" i="166"/>
  <c r="H6" i="166"/>
  <c r="C6" i="166"/>
  <c r="D5" i="166"/>
  <c r="E5" i="166"/>
  <c r="F5" i="166"/>
  <c r="G5" i="166"/>
  <c r="H5" i="166"/>
  <c r="C5" i="166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T7" i="107"/>
  <c r="U7" i="107"/>
  <c r="V7" i="107"/>
  <c r="W7" i="107"/>
  <c r="X7" i="107"/>
  <c r="Y7" i="107"/>
  <c r="Z7" i="107"/>
  <c r="AA7" i="107"/>
  <c r="E7" i="107"/>
  <c r="F6" i="107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T6" i="107"/>
  <c r="U6" i="107"/>
  <c r="V6" i="107"/>
  <c r="W6" i="107"/>
  <c r="X6" i="107"/>
  <c r="Y6" i="107"/>
  <c r="Z6" i="107"/>
  <c r="AA6" i="107"/>
  <c r="E6" i="107"/>
  <c r="AG35" i="107" l="1"/>
  <c r="AF19" i="107"/>
  <c r="AE19" i="107"/>
  <c r="AE16" i="107"/>
  <c r="AD16" i="107"/>
  <c r="AC16" i="107"/>
  <c r="AB16" i="107"/>
  <c r="AG7" i="107" l="1"/>
  <c r="AH35" i="107"/>
  <c r="AB7" i="107"/>
  <c r="AB6" i="107"/>
  <c r="AC7" i="107"/>
  <c r="AC6" i="107"/>
  <c r="AF7" i="107"/>
  <c r="AF6" i="107"/>
  <c r="AD7" i="107"/>
  <c r="AD6" i="107"/>
  <c r="AE7" i="107"/>
  <c r="AE6" i="107"/>
  <c r="K7" i="109"/>
  <c r="K6" i="109" s="1"/>
  <c r="L7" i="109"/>
  <c r="L6" i="109" s="1"/>
  <c r="M7" i="109"/>
  <c r="M6" i="109" s="1"/>
  <c r="N7" i="109"/>
  <c r="N6" i="109" s="1"/>
  <c r="O7" i="109"/>
  <c r="O6" i="109" s="1"/>
  <c r="P7" i="109"/>
  <c r="P6" i="109" s="1"/>
  <c r="Q7" i="109"/>
  <c r="Q6" i="109" s="1"/>
  <c r="R7" i="109"/>
  <c r="R6" i="109" s="1"/>
  <c r="S7" i="109"/>
  <c r="S6" i="109" s="1"/>
  <c r="T7" i="109"/>
  <c r="T6" i="109" s="1"/>
  <c r="U7" i="109"/>
  <c r="U6" i="109" s="1"/>
  <c r="V7" i="109"/>
  <c r="V6" i="109" s="1"/>
  <c r="W7" i="109"/>
  <c r="W6" i="109" s="1"/>
  <c r="X7" i="109"/>
  <c r="X6" i="109" s="1"/>
  <c r="Y7" i="109"/>
  <c r="Y6" i="109" s="1"/>
  <c r="Z7" i="109"/>
  <c r="Z6" i="109" s="1"/>
  <c r="AA7" i="109"/>
  <c r="AA6" i="109" s="1"/>
  <c r="AB7" i="109"/>
  <c r="AB6" i="109" s="1"/>
  <c r="AC7" i="109"/>
  <c r="AC6" i="109" s="1"/>
  <c r="AD7" i="109"/>
  <c r="AD6" i="109" s="1"/>
  <c r="C35" i="108" l="1"/>
  <c r="AH7" i="107"/>
  <c r="AG17" i="109"/>
  <c r="AG7" i="109" s="1"/>
  <c r="AG6" i="109" s="1"/>
  <c r="AC6" i="110"/>
  <c r="AP36" i="104" l="1"/>
  <c r="AC36" i="104"/>
  <c r="AC12" i="104" l="1"/>
  <c r="AP44" i="104"/>
  <c r="AC44" i="104"/>
  <c r="AC31" i="104"/>
  <c r="AC28" i="104"/>
  <c r="AP25" i="104"/>
  <c r="AP8" i="104" s="1"/>
  <c r="AP7" i="104" s="1"/>
  <c r="AC25" i="104"/>
  <c r="AC9" i="104"/>
  <c r="AC7" i="104" l="1"/>
  <c r="AC8" i="104"/>
  <c r="AB17" i="104" l="1"/>
  <c r="AF17" i="109" l="1"/>
  <c r="AF7" i="109" s="1"/>
  <c r="AF6" i="109" s="1"/>
  <c r="AE17" i="109"/>
  <c r="AE7" i="109" s="1"/>
  <c r="AE6" i="109" s="1"/>
  <c r="AB7" i="110"/>
  <c r="AB6" i="110" s="1"/>
  <c r="AA7" i="110"/>
  <c r="AA6" i="110" s="1"/>
  <c r="AB25" i="104" l="1"/>
  <c r="AO25" i="104"/>
  <c r="AO12" i="104" l="1"/>
  <c r="AB12" i="104"/>
  <c r="AO44" i="104" l="1"/>
  <c r="AB44" i="104"/>
  <c r="AB28" i="104"/>
  <c r="AB20" i="104"/>
  <c r="AB8" i="104" s="1"/>
  <c r="AA44" i="104"/>
  <c r="AA28" i="104"/>
  <c r="AA25" i="104"/>
  <c r="AA20" i="104"/>
  <c r="AA17" i="104"/>
  <c r="AA12" i="104"/>
  <c r="AA7" i="104" l="1"/>
  <c r="AB7" i="104"/>
  <c r="AA8" i="104"/>
  <c r="AO20" i="104"/>
  <c r="AO8" i="104" l="1"/>
  <c r="AO7" i="104" s="1"/>
  <c r="J6" i="109" l="1"/>
  <c r="AN44" i="104" l="1"/>
  <c r="AN25" i="104"/>
  <c r="AN20" i="104"/>
  <c r="AN28" i="104"/>
  <c r="AN8" i="104" l="1"/>
  <c r="AN7" i="104" s="1"/>
  <c r="Z7" i="110"/>
  <c r="Z6" i="110" s="1"/>
  <c r="Y7" i="110"/>
  <c r="Y6" i="110" s="1"/>
  <c r="Z17" i="104" l="1"/>
  <c r="Z12" i="104"/>
  <c r="AM36" i="104"/>
  <c r="AM13" i="104"/>
  <c r="AM44" i="104"/>
  <c r="Z44" i="104"/>
  <c r="AM25" i="104"/>
  <c r="Z25" i="104"/>
  <c r="AM20" i="104"/>
  <c r="Z20" i="104"/>
  <c r="Z28" i="104"/>
  <c r="Z7" i="104" l="1"/>
  <c r="Z8" i="104"/>
  <c r="AM8" i="104"/>
  <c r="AM7" i="104" s="1"/>
  <c r="X7" i="110" l="1"/>
  <c r="X6" i="110" s="1"/>
  <c r="AL44" i="104" l="1"/>
  <c r="Y44" i="104"/>
  <c r="AL36" i="104"/>
  <c r="AL28" i="104"/>
  <c r="Y28" i="104"/>
  <c r="AL25" i="104"/>
  <c r="Y25" i="104"/>
  <c r="Y20" i="104"/>
  <c r="AL20" i="104"/>
  <c r="Y17" i="104"/>
  <c r="Y12" i="104"/>
  <c r="AL13" i="104"/>
  <c r="AK13" i="104"/>
  <c r="Y7" i="104" l="1"/>
  <c r="Y8" i="104"/>
  <c r="AL9" i="104"/>
  <c r="AL8" i="104" l="1"/>
  <c r="AL7" i="104" s="1"/>
  <c r="W7" i="110" l="1"/>
  <c r="W6" i="110" s="1"/>
  <c r="X17" i="104" l="1"/>
  <c r="AK44" i="104" l="1"/>
  <c r="X44" i="104"/>
  <c r="AK36" i="104"/>
  <c r="X36" i="104"/>
  <c r="AK20" i="104"/>
  <c r="X20" i="104"/>
  <c r="AK25" i="104"/>
  <c r="X25" i="104"/>
  <c r="X7" i="104" l="1"/>
  <c r="X8" i="104"/>
  <c r="AK8" i="104"/>
  <c r="AK7" i="104" s="1"/>
  <c r="V7" i="110" l="1"/>
  <c r="V6" i="110" s="1"/>
  <c r="AJ12" i="104" l="1"/>
  <c r="AJ36" i="104"/>
  <c r="W36" i="104"/>
  <c r="AI36" i="104"/>
  <c r="V36" i="104"/>
  <c r="AJ20" i="104"/>
  <c r="W17" i="104"/>
  <c r="AJ44" i="104"/>
  <c r="W44" i="104"/>
  <c r="AJ25" i="104"/>
  <c r="W25" i="104"/>
  <c r="AI44" i="104"/>
  <c r="AI25" i="104"/>
  <c r="AI20" i="104"/>
  <c r="V25" i="104"/>
  <c r="V20" i="104"/>
  <c r="V17" i="104"/>
  <c r="W7" i="104" l="1"/>
  <c r="V7" i="104"/>
  <c r="AI8" i="104"/>
  <c r="AI7" i="104" s="1"/>
  <c r="V8" i="104"/>
  <c r="W8" i="104"/>
  <c r="T7" i="110" l="1"/>
  <c r="T6" i="110" s="1"/>
  <c r="U7" i="110"/>
  <c r="U6" i="110" s="1"/>
  <c r="AH25" i="104" l="1"/>
  <c r="U25" i="104"/>
  <c r="AH44" i="104"/>
  <c r="AH36" i="104"/>
  <c r="AH20" i="104"/>
  <c r="AH12" i="104"/>
  <c r="U44" i="104"/>
  <c r="U36" i="104"/>
  <c r="U23" i="104"/>
  <c r="U20" i="104"/>
  <c r="U17" i="104"/>
  <c r="U7" i="104" l="1"/>
  <c r="AH8" i="104"/>
  <c r="AH7" i="104" s="1"/>
  <c r="U8" i="104"/>
  <c r="AG44" i="104" l="1"/>
  <c r="AE44" i="104"/>
  <c r="T44" i="104"/>
  <c r="R44" i="104"/>
  <c r="Q44" i="104"/>
  <c r="P44" i="104"/>
  <c r="N44" i="104"/>
  <c r="AG36" i="104"/>
  <c r="AE36" i="104"/>
  <c r="T36" i="104"/>
  <c r="S36" i="104"/>
  <c r="R36" i="104"/>
  <c r="Q36" i="104"/>
  <c r="P36" i="104"/>
  <c r="O36" i="104"/>
  <c r="AE28" i="104"/>
  <c r="R28" i="104"/>
  <c r="Q28" i="104"/>
  <c r="AG25" i="104"/>
  <c r="AE25" i="104"/>
  <c r="T25" i="104"/>
  <c r="R25" i="104"/>
  <c r="Q25" i="104"/>
  <c r="P23" i="104"/>
  <c r="AG20" i="104"/>
  <c r="AE20" i="104"/>
  <c r="T20" i="104"/>
  <c r="R20" i="104"/>
  <c r="Q20" i="104"/>
  <c r="P20" i="104"/>
  <c r="AE17" i="104"/>
  <c r="T17" i="104"/>
  <c r="S17" i="104"/>
  <c r="S7" i="104" s="1"/>
  <c r="R17" i="104"/>
  <c r="Q17" i="104"/>
  <c r="P17" i="104"/>
  <c r="O17" i="104"/>
  <c r="O7" i="104" s="1"/>
  <c r="N17" i="104"/>
  <c r="N7" i="104" s="1"/>
  <c r="M17" i="104"/>
  <c r="M7" i="104" s="1"/>
  <c r="L17" i="104"/>
  <c r="L7" i="104" s="1"/>
  <c r="K17" i="104"/>
  <c r="K7" i="104" s="1"/>
  <c r="J17" i="104"/>
  <c r="J7" i="104" s="1"/>
  <c r="I17" i="104"/>
  <c r="I7" i="104" s="1"/>
  <c r="H17" i="104"/>
  <c r="H7" i="104" s="1"/>
  <c r="G17" i="104"/>
  <c r="G7" i="104" s="1"/>
  <c r="F17" i="104"/>
  <c r="F7" i="104" s="1"/>
  <c r="AJ8" i="104"/>
  <c r="AJ7" i="104" s="1"/>
  <c r="AF8" i="104"/>
  <c r="AF7" i="104" s="1"/>
  <c r="E8" i="104"/>
  <c r="E7" i="104" s="1"/>
  <c r="D8" i="104"/>
  <c r="D7" i="104" s="1"/>
  <c r="C8" i="104"/>
  <c r="C7" i="104" s="1"/>
  <c r="S7" i="110"/>
  <c r="S6" i="110" s="1"/>
  <c r="R7" i="110"/>
  <c r="R6" i="110" s="1"/>
  <c r="Q7" i="110"/>
  <c r="Q6" i="110" s="1"/>
  <c r="P7" i="110"/>
  <c r="P6" i="110" s="1"/>
  <c r="O7" i="110"/>
  <c r="O6" i="110" s="1"/>
  <c r="N7" i="110"/>
  <c r="N6" i="110" s="1"/>
  <c r="M7" i="110"/>
  <c r="M6" i="110" s="1"/>
  <c r="L7" i="110"/>
  <c r="L6" i="110" s="1"/>
  <c r="K7" i="110"/>
  <c r="K6" i="110" s="1"/>
  <c r="J7" i="110"/>
  <c r="J6" i="110" s="1"/>
  <c r="I7" i="110"/>
  <c r="I6" i="110" s="1"/>
  <c r="H7" i="110"/>
  <c r="H6" i="110" s="1"/>
  <c r="G7" i="110"/>
  <c r="G6" i="110" s="1"/>
  <c r="F7" i="110"/>
  <c r="F6" i="110" s="1"/>
  <c r="P7" i="104" l="1"/>
  <c r="T7" i="104"/>
  <c r="Q7" i="104"/>
  <c r="R7" i="104"/>
  <c r="AE8" i="104"/>
  <c r="AE7" i="104" s="1"/>
  <c r="AG8" i="104"/>
  <c r="AG7" i="104" s="1"/>
  <c r="F8" i="104"/>
  <c r="H8" i="104"/>
  <c r="J8" i="104"/>
  <c r="L8" i="104"/>
  <c r="N8" i="104"/>
  <c r="P8" i="104"/>
  <c r="R8" i="104"/>
  <c r="T8" i="104"/>
  <c r="G8" i="104"/>
  <c r="I8" i="104"/>
  <c r="K8" i="104"/>
  <c r="M8" i="104"/>
  <c r="O8" i="104"/>
  <c r="Q8" i="104"/>
  <c r="S8" i="104"/>
</calcChain>
</file>

<file path=xl/sharedStrings.xml><?xml version="1.0" encoding="utf-8"?>
<sst xmlns="http://schemas.openxmlformats.org/spreadsheetml/2006/main" count="1954" uniqueCount="181">
  <si>
    <t>MK</t>
  </si>
  <si>
    <t>km at end of year</t>
  </si>
  <si>
    <t>High-speed lines currently under construction</t>
  </si>
  <si>
    <t xml:space="preserve"> 50   Hz</t>
  </si>
  <si>
    <t>km</t>
  </si>
  <si>
    <t>LINE</t>
  </si>
  <si>
    <t xml:space="preserve">km </t>
  </si>
  <si>
    <t>Track Gauge</t>
  </si>
  <si>
    <t>Electric current</t>
  </si>
  <si>
    <t>mm</t>
  </si>
  <si>
    <t>800-1200</t>
  </si>
  <si>
    <t>(contact rail)</t>
  </si>
  <si>
    <t>ES*</t>
  </si>
  <si>
    <t>750-850</t>
  </si>
  <si>
    <t>(N-IRL)</t>
  </si>
  <si>
    <t>(at end of year)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</si>
  <si>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</si>
  <si>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</si>
  <si>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</si>
  <si>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</si>
  <si>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</si>
  <si>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</si>
  <si>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</si>
  <si>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</si>
  <si>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</si>
  <si>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</si>
  <si>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</si>
  <si>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</si>
  <si>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</si>
  <si>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</si>
  <si>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</si>
  <si>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</si>
  <si>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</si>
  <si>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</si>
  <si>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</si>
  <si>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</si>
  <si>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</si>
  <si>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</si>
  <si>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</si>
  <si>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</si>
  <si>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</si>
  <si>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</si>
  <si>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</si>
  <si>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</si>
  <si>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</si>
  <si>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</si>
  <si>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</si>
  <si>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</si>
  <si>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</si>
  <si>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</si>
  <si>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</si>
  <si>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</si>
  <si>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 xml:space="preserve">- 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</si>
  <si>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</si>
  <si>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</si>
  <si>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</si>
  <si>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</si>
  <si>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</si>
  <si>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</si>
  <si>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</si>
  <si>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</si>
  <si>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</si>
  <si>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</si>
  <si>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</si>
  <si>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</si>
  <si>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</si>
  <si>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Length of lines</t>
  </si>
  <si>
    <t>Main or national roads</t>
  </si>
  <si>
    <t>Secondary or regional roads</t>
  </si>
  <si>
    <t xml:space="preserve">"Other roads" sometimes includes roads without a hard surface. </t>
  </si>
  <si>
    <t>Start of operation</t>
  </si>
  <si>
    <r>
      <t>UK</t>
    </r>
    <r>
      <rPr>
        <sz val="8"/>
        <rFont val="Arial"/>
        <family val="2"/>
      </rPr>
      <t>: (N-IRL): Northern Ireland</t>
    </r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</si>
  <si>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</si>
  <si>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</si>
  <si>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</si>
  <si>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</si>
  <si>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</si>
  <si>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</si>
  <si>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</si>
  <si>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</si>
  <si>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</si>
  <si>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</si>
  <si>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</si>
  <si>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</si>
  <si>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</si>
  <si>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</si>
  <si>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</si>
  <si>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</si>
  <si>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</si>
  <si>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TRANSPORT IN FIGURES</t>
  </si>
  <si>
    <t>Part 2  :  TRANSPORT</t>
  </si>
  <si>
    <t>ME</t>
  </si>
  <si>
    <t>RS</t>
  </si>
  <si>
    <t>AL</t>
  </si>
  <si>
    <t>EU-28</t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</si>
  <si>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</si>
  <si>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CS: </t>
    </r>
    <r>
      <rPr>
        <sz val="8"/>
        <rFont val="Arial"/>
        <family val="2"/>
      </rPr>
      <t>1970: 13 308, 1980: 13 131, 1990: 13 111</t>
    </r>
  </si>
  <si>
    <t>Venta de Banos - Burgos</t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</si>
  <si>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</si>
  <si>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UK:</t>
    </r>
    <r>
      <rPr>
        <sz val="8"/>
        <rFont val="Arial"/>
        <family val="2"/>
      </rPr>
      <t xml:space="preserve"> data refers to the 1st of April.</t>
    </r>
  </si>
  <si>
    <t>Other roads**</t>
  </si>
  <si>
    <t>Wendlingen-Ulm</t>
  </si>
  <si>
    <t>Stuttgart-Wendlingen</t>
  </si>
  <si>
    <t>Karlsruhe-Raststatt (Basel)</t>
  </si>
  <si>
    <t xml:space="preserve"> (Karlsruhe) Katzenbergtunnel － Basel</t>
  </si>
  <si>
    <t>Wien Stadlau -Staatsgrenze (AT/SK)</t>
  </si>
  <si>
    <t>EU-27</t>
  </si>
  <si>
    <t xml:space="preserve">Length </t>
  </si>
  <si>
    <t>León-Pola de Lena (Pajares New Pass)</t>
  </si>
  <si>
    <t>Navalmoral-Plasencia/Badajos</t>
  </si>
  <si>
    <t xml:space="preserve">Pedralba - Orense </t>
  </si>
  <si>
    <t>Vitoria Gasteiz-Bilbao-San Sebastian</t>
  </si>
  <si>
    <t>Castejon-Pamplona</t>
  </si>
  <si>
    <t>La Encina - Valencia</t>
  </si>
  <si>
    <t>Brescia - Verona</t>
  </si>
  <si>
    <t>Napoli - Bari</t>
  </si>
  <si>
    <t>Verona - Padova</t>
  </si>
  <si>
    <t>EU 27</t>
  </si>
  <si>
    <r>
      <t xml:space="preserve">CY: </t>
    </r>
    <r>
      <rPr>
        <sz val="8"/>
        <rFont val="Arial"/>
        <family val="2"/>
      </rPr>
      <t>other road network includes forest gravel roads</t>
    </r>
  </si>
  <si>
    <r>
      <t>Source</t>
    </r>
    <r>
      <rPr>
        <sz val="8"/>
        <rFont val="Arial"/>
        <family val="2"/>
      </rPr>
      <t xml:space="preserve">: Eurostat [iww_if_infrastr], national statistics (EE,RS),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</si>
  <si>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Eurostat [pipe_if_lenght], national statistics (FR,NL,RS),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</si>
  <si>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 [road_if_roadsc], International Road Federation (www.irfnet.ch)  (BE, EL, LU, MT, IS),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</si>
  <si>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1970=14 250,  1980=14 248,  1990=14 031 </t>
    </r>
  </si>
  <si>
    <r>
      <t>Source</t>
    </r>
    <r>
      <rPr>
        <sz val="8"/>
        <color theme="1"/>
        <rFont val="Arial"/>
        <family val="2"/>
      </rPr>
      <t>: Eurostat [avia_paoa], national sources (AL, TR)</t>
    </r>
  </si>
  <si>
    <t xml:space="preserve">Navigable canals, rivers and lakes regularly used for freight transport </t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</si>
  <si>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 = 2 300, 1980 = 2 302, 1990 = 2 319 </t>
    </r>
  </si>
  <si>
    <t>Genova-Milano (Tortona)</t>
  </si>
  <si>
    <t>Road: Length of motorways</t>
  </si>
  <si>
    <t>Road: Length of road network</t>
  </si>
  <si>
    <t>Railways: Length of lines in use</t>
  </si>
  <si>
    <t>Railways: High speed rail network</t>
  </si>
  <si>
    <t>Railways: Main railway gauge and electric current used</t>
  </si>
  <si>
    <t>Air: Number of airports by number of passengers carried</t>
  </si>
  <si>
    <t>Pipelines: Length of oil pipelines</t>
  </si>
  <si>
    <t xml:space="preserve">Inland waterways: Length in use </t>
  </si>
  <si>
    <t xml:space="preserve">Road : Length of motorways  </t>
  </si>
  <si>
    <t>Road : Length of road network</t>
  </si>
  <si>
    <t>Railways : Length of lines in use</t>
  </si>
  <si>
    <t>Railways : Main railway gauge</t>
  </si>
  <si>
    <t>and electric current used</t>
  </si>
  <si>
    <t>Air : Number of airports</t>
  </si>
  <si>
    <t xml:space="preserve">Inland Waterways : Length in use  </t>
  </si>
  <si>
    <r>
      <t>DE:</t>
    </r>
    <r>
      <rPr>
        <sz val="8"/>
        <rFont val="Arial"/>
        <family val="2"/>
      </rPr>
      <t xml:space="preserve"> Crude oil pipelines only; includes former </t>
    </r>
    <r>
      <rPr>
        <b/>
        <sz val="8"/>
        <rFont val="Arial"/>
        <family val="2"/>
      </rPr>
      <t xml:space="preserve">GDR 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</si>
  <si>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NB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/>
    </r>
  </si>
  <si>
    <t>NB:</t>
  </si>
  <si>
    <r>
      <t>NB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</si>
  <si>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NB</t>
    </r>
    <r>
      <rPr>
        <sz val="8"/>
        <rFont val="Arial"/>
        <family val="2"/>
      </rPr>
      <t xml:space="preserve">: 1435 mm = standard gauge </t>
    </r>
  </si>
  <si>
    <r>
      <t>NB: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In this table, blank means none.</t>
    </r>
  </si>
  <si>
    <r>
      <t>NB:</t>
    </r>
    <r>
      <rPr>
        <sz val="8"/>
        <rFont val="Arial"/>
        <family val="2"/>
      </rPr>
      <t/>
    </r>
  </si>
  <si>
    <t>**: the definition of road types varies from country to country, the data are therefore not fully comparable. MT, CY: data for 2016</t>
  </si>
  <si>
    <r>
      <t>Source</t>
    </r>
    <r>
      <rPr>
        <sz val="8"/>
        <rFont val="Arial"/>
        <family val="2"/>
      </rPr>
      <t>: Union Internationale des Chemins de Fer;</t>
    </r>
  </si>
  <si>
    <r>
      <t>Source</t>
    </r>
    <r>
      <rPr>
        <sz val="8"/>
        <rFont val="Arial"/>
        <family val="2"/>
      </rPr>
      <t>: Eurostat [road_if_motorwa],  International Road Federation (www.irfnet.ch) ( EL, IS, 2018), ASECAP (European Association of Operators of Toll Road Infrastructures) statistical bulletin ( RS), national statistics (BG,NL,AT,UK) 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</si>
  <si>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 xml:space="preserve">BE: </t>
    </r>
    <r>
      <rPr>
        <sz val="8"/>
        <rFont val="Arial"/>
        <family val="2"/>
      </rPr>
      <t>situation at the end of 2015</t>
    </r>
  </si>
  <si>
    <r>
      <t xml:space="preserve">km at the end of </t>
    </r>
    <r>
      <rPr>
        <b/>
        <sz val="10"/>
        <rFont val="Arial"/>
        <family val="2"/>
      </rPr>
      <t>2019*</t>
    </r>
  </si>
  <si>
    <t xml:space="preserve">Wien Inzersdorf Ort － Wr. Neustadt </t>
  </si>
  <si>
    <t xml:space="preserve">Graz-Klagenfurt </t>
  </si>
  <si>
    <t xml:space="preserve">Gloggnitz － Mürzzuschlag </t>
  </si>
  <si>
    <t xml:space="preserve">Volders-Baumkirchen / Innsbruck -Staatsgrenze AT/IT </t>
  </si>
  <si>
    <t>Monforte del Cid - Murcia</t>
  </si>
  <si>
    <t>Murcia-Almeria</t>
  </si>
  <si>
    <t>Umeå - Dåvå</t>
  </si>
  <si>
    <t>Lund - Arlöv</t>
  </si>
  <si>
    <t>Varberg - Hamra (Varbergtunnel)</t>
  </si>
  <si>
    <t>Ängelholm - Maria</t>
  </si>
  <si>
    <t>Järna - Linköping</t>
  </si>
  <si>
    <r>
      <t>Source</t>
    </r>
    <r>
      <rPr>
        <sz val="8"/>
        <rFont val="Arial"/>
        <family val="2"/>
      </rPr>
      <t>: Union Internationale des Chemins de Fer (High speed lines in the world, 2021)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</si>
  <si>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High speed lines</t>
    </r>
    <r>
      <rPr>
        <sz val="8"/>
        <rFont val="Arial"/>
        <family val="2"/>
      </rPr>
      <t xml:space="preserve"> include principal railway lines allowing traffic at speeds on the main  segments equal to or greater than 200 km/h on upgraded lines and 250 km/h on especially built lines. </t>
    </r>
    <r>
      <rPr>
        <b/>
        <sz val="8"/>
        <rFont val="Arial"/>
        <family val="2"/>
      </rPr>
      <t xml:space="preserve">Dedicated high-speed </t>
    </r>
    <r>
      <rPr>
        <sz val="8"/>
        <rFont val="Arial"/>
        <family val="2"/>
      </rPr>
      <t>railway line is a line specially built to allow traffic at speeds equal to or greater than 250 km/h for the main segments.</t>
    </r>
  </si>
  <si>
    <r>
      <t>Dedicated high-speed lines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209 km;  </t>
    </r>
    <r>
      <rPr>
        <b/>
        <sz val="8"/>
        <rFont val="Arial"/>
        <family val="2"/>
      </rPr>
      <t xml:space="preserve">DE: </t>
    </r>
    <r>
      <rPr>
        <sz val="8"/>
        <rFont val="Arial"/>
        <family val="2"/>
      </rPr>
      <t xml:space="preserve">1223 km; </t>
    </r>
    <r>
      <rPr>
        <b/>
        <sz val="8"/>
        <rFont val="Arial"/>
        <family val="2"/>
      </rPr>
      <t xml:space="preserve">DK: </t>
    </r>
    <r>
      <rPr>
        <sz val="8"/>
        <rFont val="Arial"/>
        <family val="2"/>
      </rPr>
      <t xml:space="preserve">56km;  </t>
    </r>
    <r>
      <rPr>
        <b/>
        <sz val="8"/>
        <rFont val="Arial"/>
        <family val="2"/>
      </rPr>
      <t>ES:</t>
    </r>
    <r>
      <rPr>
        <sz val="8"/>
        <rFont val="Arial"/>
        <family val="2"/>
      </rPr>
      <t xml:space="preserve"> 3015 km;</t>
    </r>
    <r>
      <rPr>
        <b/>
        <sz val="8"/>
        <rFont val="Arial"/>
        <family val="2"/>
      </rPr>
      <t xml:space="preserve"> FR: </t>
    </r>
    <r>
      <rPr>
        <sz val="8"/>
        <rFont val="Arial"/>
        <family val="2"/>
      </rPr>
      <t xml:space="preserve">2735;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:896; </t>
    </r>
    <r>
      <rPr>
        <b/>
        <sz val="8"/>
        <rFont val="Arial"/>
        <family val="2"/>
      </rPr>
      <t>NL</t>
    </r>
    <r>
      <rPr>
        <sz val="8"/>
        <rFont val="Arial"/>
        <family val="2"/>
      </rPr>
      <t>: 90 km;</t>
    </r>
  </si>
  <si>
    <r>
      <t xml:space="preserve">IT: </t>
    </r>
    <r>
      <rPr>
        <sz val="8"/>
        <rFont val="Arial"/>
        <family val="2"/>
      </rPr>
      <t>2018 figure</t>
    </r>
  </si>
  <si>
    <r>
      <t>Source</t>
    </r>
    <r>
      <rPr>
        <sz val="8"/>
        <rFont val="Arial"/>
        <family val="2"/>
      </rPr>
      <t>: Union Internationale des Chemins de Fer, IRG-Rail (Independent Regulators' Group - Rail)  annual reports (BE, DE), national statistics (DK, IE,ES, NL,ME), Eurostat (FR, SE),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).</t>
    </r>
  </si>
  <si>
    <r>
      <t xml:space="preserve">CH: </t>
    </r>
    <r>
      <rPr>
        <sz val="8"/>
        <rFont val="Arial"/>
        <family val="2"/>
      </rPr>
      <t xml:space="preserve">since 2017 RhB is included </t>
    </r>
  </si>
  <si>
    <r>
      <t xml:space="preserve">IE: </t>
    </r>
    <r>
      <rPr>
        <sz val="8"/>
        <rFont val="Arial"/>
        <family val="2"/>
      </rPr>
      <t>main track length;</t>
    </r>
  </si>
  <si>
    <t>Buggingen -Katzenbergtunnel (Basel)</t>
  </si>
  <si>
    <t>by number of passengers carried* in 2019</t>
  </si>
  <si>
    <t>Railways : High speed rail network (including dedicated high-speed lines)</t>
  </si>
  <si>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since 2019 the length of navigable lakes was added to the previous figures; </t>
    </r>
  </si>
  <si>
    <t>of which electrified</t>
  </si>
  <si>
    <t>%</t>
  </si>
  <si>
    <t>DC volts</t>
  </si>
  <si>
    <t>AC volts</t>
  </si>
  <si>
    <r>
      <t xml:space="preserve">*BE </t>
    </r>
    <r>
      <rPr>
        <sz val="8"/>
        <rFont val="Arial"/>
        <family val="2"/>
      </rPr>
      <t>end of 2015;</t>
    </r>
    <r>
      <rPr>
        <b/>
        <sz val="8"/>
        <rFont val="Arial"/>
        <family val="2"/>
      </rPr>
      <t xml:space="preserve"> EL: </t>
    </r>
    <r>
      <rPr>
        <sz val="8"/>
        <rFont val="Arial"/>
        <family val="2"/>
      </rPr>
      <t xml:space="preserve">2018; 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 end of 2018; </t>
    </r>
    <r>
      <rPr>
        <b/>
        <sz val="8"/>
        <rFont val="Arial"/>
        <family val="2"/>
      </rPr>
      <t>LU:</t>
    </r>
    <r>
      <rPr>
        <sz val="8"/>
        <rFont val="Arial"/>
        <family val="2"/>
      </rPr>
      <t xml:space="preserve"> 2018 (other roads); for 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 xml:space="preserve"> end of 2017;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 1st of April 2019; 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</si>
</sst>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"/>
    <numFmt numFmtId="166" formatCode="0.0\ \ \ "/>
    <numFmt numFmtId="167" formatCode="#,##0\ "/>
    <numFmt numFmtId="168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7">
    <xf numFmtId="0" fontId="0" fillId="0" borderId="0"/>
    <xf numFmtId="0" fontId="13" fillId="0" borderId="0"/>
    <xf numFmtId="0" fontId="21" fillId="2" borderId="0" applyNumberFormat="0" applyBorder="0">
      <protection locked="0"/>
    </xf>
    <xf numFmtId="0" fontId="22" fillId="3" borderId="0" applyNumberFormat="0" applyBorder="0">
      <protection locked="0"/>
    </xf>
    <xf numFmtId="0" fontId="7" fillId="0" borderId="0"/>
    <xf numFmtId="0" fontId="6" fillId="0" borderId="0"/>
    <xf numFmtId="0" fontId="8" fillId="0" borderId="0"/>
    <xf numFmtId="0" fontId="32" fillId="0" borderId="0"/>
    <xf numFmtId="0" fontId="5" fillId="0" borderId="0"/>
    <xf numFmtId="0" fontId="4" fillId="0" borderId="0"/>
    <xf numFmtId="0" fontId="3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168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544"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Fill="1" applyBorder="1"/>
    <xf numFmtId="0" fontId="16" fillId="0" borderId="0" xfId="0" applyFont="1"/>
    <xf numFmtId="0" fontId="0" fillId="0" borderId="0" xfId="0" applyFill="1"/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quotePrefix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9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7" fillId="0" borderId="0" xfId="0" applyFont="1"/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0" fontId="12" fillId="0" borderId="6" xfId="0" applyFont="1" applyBorder="1" applyAlignment="1">
      <alignment horizontal="left" vertical="center"/>
    </xf>
    <xf numFmtId="0" fontId="10" fillId="0" borderId="0" xfId="0" quotePrefix="1" applyFont="1" applyAlignment="1">
      <alignment horizontal="left" vertical="top"/>
    </xf>
    <xf numFmtId="0" fontId="25" fillId="0" borderId="0" xfId="0" applyFont="1"/>
    <xf numFmtId="0" fontId="0" fillId="0" borderId="5" xfId="0" applyFill="1" applyBorder="1"/>
    <xf numFmtId="0" fontId="11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1" fontId="12" fillId="4" borderId="9" xfId="0" applyNumberFormat="1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5" xfId="0" applyFill="1" applyBorder="1"/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quotePrefix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/>
    <xf numFmtId="0" fontId="1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7" fontId="10" fillId="0" borderId="0" xfId="0" quotePrefix="1" applyNumberFormat="1" applyFont="1" applyBorder="1" applyAlignment="1">
      <alignment horizontal="center" vertical="center" wrapText="1"/>
    </xf>
    <xf numFmtId="165" fontId="19" fillId="5" borderId="0" xfId="0" applyNumberFormat="1" applyFont="1" applyFill="1" applyBorder="1" applyAlignment="1">
      <alignment horizontal="right" vertical="center"/>
    </xf>
    <xf numFmtId="0" fontId="13" fillId="5" borderId="17" xfId="0" applyFont="1" applyFill="1" applyBorder="1" applyAlignment="1">
      <alignment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5" borderId="31" xfId="0" applyFont="1" applyFill="1" applyBorder="1" applyAlignment="1">
      <alignment horizontal="right" vertical="center"/>
    </xf>
    <xf numFmtId="0" fontId="13" fillId="0" borderId="30" xfId="0" quotePrefix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0" borderId="38" xfId="0" quotePrefix="1" applyFont="1" applyFill="1" applyBorder="1" applyAlignment="1">
      <alignment horizontal="center" vertical="center"/>
    </xf>
    <xf numFmtId="0" fontId="13" fillId="0" borderId="39" xfId="0" quotePrefix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66" fontId="9" fillId="0" borderId="0" xfId="0" quotePrefix="1" applyNumberFormat="1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0" xfId="0" applyFont="1"/>
    <xf numFmtId="0" fontId="14" fillId="0" borderId="0" xfId="0" applyFont="1" applyAlignment="1">
      <alignment horizontal="center" vertical="center" wrapText="1"/>
    </xf>
    <xf numFmtId="167" fontId="19" fillId="5" borderId="0" xfId="0" applyNumberFormat="1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/>
    </xf>
    <xf numFmtId="1" fontId="12" fillId="4" borderId="8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 vertical="center"/>
    </xf>
    <xf numFmtId="165" fontId="11" fillId="0" borderId="0" xfId="0" applyNumberFormat="1" applyFont="1"/>
    <xf numFmtId="167" fontId="11" fillId="0" borderId="4" xfId="0" quotePrefix="1" applyNumberFormat="1" applyFont="1" applyFill="1" applyBorder="1" applyAlignment="1">
      <alignment horizontal="right" vertical="center"/>
    </xf>
    <xf numFmtId="167" fontId="11" fillId="0" borderId="0" xfId="0" quotePrefix="1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4" borderId="49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4" xfId="0" applyFill="1" applyBorder="1"/>
    <xf numFmtId="167" fontId="11" fillId="0" borderId="8" xfId="0" quotePrefix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167" fontId="11" fillId="5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167" fontId="11" fillId="0" borderId="12" xfId="0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/>
    <xf numFmtId="0" fontId="12" fillId="6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wrapText="1"/>
    </xf>
    <xf numFmtId="0" fontId="8" fillId="0" borderId="0" xfId="0" applyFont="1"/>
    <xf numFmtId="165" fontId="11" fillId="5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5" fontId="19" fillId="0" borderId="0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right" vertical="center"/>
    </xf>
    <xf numFmtId="0" fontId="15" fillId="6" borderId="27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right" vertical="center"/>
    </xf>
    <xf numFmtId="0" fontId="13" fillId="6" borderId="21" xfId="0" quotePrefix="1" applyFont="1" applyFill="1" applyBorder="1" applyAlignment="1">
      <alignment horizontal="center" vertical="center"/>
    </xf>
    <xf numFmtId="0" fontId="13" fillId="6" borderId="38" xfId="0" quotePrefix="1" applyFont="1" applyFill="1" applyBorder="1" applyAlignment="1">
      <alignment horizontal="center" vertical="center"/>
    </xf>
    <xf numFmtId="0" fontId="13" fillId="6" borderId="39" xfId="0" quotePrefix="1" applyFont="1" applyFill="1" applyBorder="1" applyAlignment="1">
      <alignment horizontal="center" vertical="center"/>
    </xf>
    <xf numFmtId="0" fontId="13" fillId="6" borderId="30" xfId="0" quotePrefix="1" applyFont="1" applyFill="1" applyBorder="1" applyAlignment="1">
      <alignment horizontal="right" vertical="center"/>
    </xf>
    <xf numFmtId="0" fontId="15" fillId="6" borderId="47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42" xfId="0" applyFont="1" applyFill="1" applyBorder="1"/>
    <xf numFmtId="0" fontId="13" fillId="6" borderId="43" xfId="0" applyFont="1" applyFill="1" applyBorder="1"/>
    <xf numFmtId="0" fontId="13" fillId="6" borderId="3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165" fontId="19" fillId="6" borderId="0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165" fontId="11" fillId="5" borderId="5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3" fillId="6" borderId="17" xfId="0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165" fontId="11" fillId="0" borderId="8" xfId="0" applyNumberFormat="1" applyFont="1" applyFill="1" applyBorder="1" applyAlignment="1">
      <alignment horizontal="right" vertical="center"/>
    </xf>
    <xf numFmtId="165" fontId="11" fillId="5" borderId="4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6" borderId="4" xfId="0" applyNumberFormat="1" applyFont="1" applyFill="1" applyBorder="1" applyAlignment="1">
      <alignment horizontal="right" vertical="center"/>
    </xf>
    <xf numFmtId="165" fontId="11" fillId="0" borderId="4" xfId="0" quotePrefix="1" applyNumberFormat="1" applyFont="1" applyFill="1" applyBorder="1" applyAlignment="1">
      <alignment horizontal="right" vertical="center"/>
    </xf>
    <xf numFmtId="165" fontId="11" fillId="6" borderId="4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1" fillId="5" borderId="4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165" fontId="11" fillId="0" borderId="51" xfId="0" applyNumberFormat="1" applyFont="1" applyFill="1" applyBorder="1" applyAlignment="1">
      <alignment vertical="center"/>
    </xf>
    <xf numFmtId="165" fontId="11" fillId="5" borderId="4" xfId="0" quotePrefix="1" applyNumberFormat="1" applyFont="1" applyFill="1" applyBorder="1" applyAlignment="1">
      <alignment horizontal="right" vertical="center"/>
    </xf>
    <xf numFmtId="165" fontId="11" fillId="5" borderId="0" xfId="0" quotePrefix="1" applyNumberFormat="1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quotePrefix="1" applyNumberFormat="1" applyFont="1" applyFill="1" applyBorder="1" applyAlignment="1">
      <alignment horizontal="right" vertical="center"/>
    </xf>
    <xf numFmtId="165" fontId="11" fillId="0" borderId="4" xfId="0" quotePrefix="1" applyNumberFormat="1" applyFont="1" applyBorder="1" applyAlignment="1">
      <alignment horizontal="right" vertical="center"/>
    </xf>
    <xf numFmtId="165" fontId="11" fillId="0" borderId="0" xfId="0" quotePrefix="1" applyNumberFormat="1" applyFont="1" applyBorder="1" applyAlignment="1">
      <alignment horizontal="right" vertical="center"/>
    </xf>
    <xf numFmtId="165" fontId="11" fillId="6" borderId="4" xfId="0" applyNumberFormat="1" applyFont="1" applyFill="1" applyBorder="1" applyAlignment="1">
      <alignment vertical="center"/>
    </xf>
    <xf numFmtId="165" fontId="11" fillId="6" borderId="0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11" fillId="0" borderId="7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165" fontId="11" fillId="6" borderId="0" xfId="0" quotePrefix="1" applyNumberFormat="1" applyFont="1" applyFill="1" applyBorder="1" applyAlignment="1">
      <alignment horizontal="right" vertical="center"/>
    </xf>
    <xf numFmtId="165" fontId="11" fillId="6" borderId="8" xfId="0" quotePrefix="1" applyNumberFormat="1" applyFont="1" applyFill="1" applyBorder="1" applyAlignment="1">
      <alignment horizontal="right" vertical="center"/>
    </xf>
    <xf numFmtId="165" fontId="11" fillId="6" borderId="12" xfId="0" quotePrefix="1" applyNumberFormat="1" applyFont="1" applyFill="1" applyBorder="1" applyAlignment="1">
      <alignment horizontal="right" vertical="center"/>
    </xf>
    <xf numFmtId="165" fontId="11" fillId="6" borderId="7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horizontal="right" vertical="center"/>
    </xf>
    <xf numFmtId="0" fontId="11" fillId="6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1" fillId="0" borderId="5" xfId="0" quotePrefix="1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165" fontId="11" fillId="0" borderId="5" xfId="0" quotePrefix="1" applyNumberFormat="1" applyFont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11" fillId="0" borderId="51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165" fontId="11" fillId="6" borderId="7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5" fontId="11" fillId="5" borderId="2" xfId="0" applyNumberFormat="1" applyFont="1" applyFill="1" applyBorder="1" applyAlignment="1">
      <alignment horizontal="right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11" fillId="0" borderId="50" xfId="0" applyNumberFormat="1" applyFont="1" applyFill="1" applyBorder="1" applyAlignment="1">
      <alignment horizontal="right" vertical="center"/>
    </xf>
    <xf numFmtId="165" fontId="11" fillId="6" borderId="2" xfId="0" applyNumberFormat="1" applyFont="1" applyFill="1" applyBorder="1" applyAlignment="1">
      <alignment horizontal="right" vertical="center"/>
    </xf>
    <xf numFmtId="165" fontId="19" fillId="6" borderId="8" xfId="0" applyNumberFormat="1" applyFont="1" applyFill="1" applyBorder="1" applyAlignment="1">
      <alignment horizontal="right" vertical="center"/>
    </xf>
    <xf numFmtId="165" fontId="11" fillId="0" borderId="53" xfId="0" applyNumberFormat="1" applyFont="1" applyFill="1" applyBorder="1" applyAlignment="1">
      <alignment horizontal="right" vertical="center"/>
    </xf>
    <xf numFmtId="165" fontId="11" fillId="6" borderId="3" xfId="0" applyNumberFormat="1" applyFont="1" applyFill="1" applyBorder="1" applyAlignment="1">
      <alignment horizontal="right" vertical="center"/>
    </xf>
    <xf numFmtId="165" fontId="11" fillId="0" borderId="3" xfId="0" applyNumberFormat="1" applyFont="1" applyFill="1" applyBorder="1" applyAlignment="1">
      <alignment horizontal="right" vertical="center"/>
    </xf>
    <xf numFmtId="165" fontId="19" fillId="0" borderId="5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165" fontId="11" fillId="0" borderId="54" xfId="0" applyNumberFormat="1" applyFont="1" applyFill="1" applyBorder="1" applyAlignment="1">
      <alignment horizontal="right" vertical="center"/>
    </xf>
    <xf numFmtId="165" fontId="11" fillId="0" borderId="54" xfId="0" applyNumberFormat="1" applyFont="1" applyBorder="1" applyAlignment="1">
      <alignment vertic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top" wrapText="1"/>
    </xf>
    <xf numFmtId="0" fontId="12" fillId="5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1" fontId="12" fillId="4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1" fontId="12" fillId="5" borderId="4" xfId="0" applyNumberFormat="1" applyFont="1" applyFill="1" applyBorder="1" applyAlignment="1">
      <alignment horizontal="center" vertical="center"/>
    </xf>
    <xf numFmtId="165" fontId="12" fillId="5" borderId="10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>
      <alignment horizontal="right" vertical="center"/>
    </xf>
    <xf numFmtId="165" fontId="20" fillId="5" borderId="10" xfId="0" applyNumberFormat="1" applyFont="1" applyFill="1" applyBorder="1" applyAlignment="1">
      <alignment vertical="center"/>
    </xf>
    <xf numFmtId="165" fontId="20" fillId="5" borderId="55" xfId="0" applyNumberFormat="1" applyFont="1" applyFill="1" applyBorder="1" applyAlignment="1">
      <alignment vertical="center"/>
    </xf>
    <xf numFmtId="0" fontId="12" fillId="5" borderId="49" xfId="0" applyFont="1" applyFill="1" applyBorder="1" applyAlignment="1">
      <alignment horizontal="center" vertical="center"/>
    </xf>
    <xf numFmtId="165" fontId="20" fillId="5" borderId="10" xfId="0" applyNumberFormat="1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top" wrapText="1"/>
    </xf>
    <xf numFmtId="165" fontId="12" fillId="5" borderId="9" xfId="0" applyNumberFormat="1" applyFont="1" applyFill="1" applyBorder="1" applyAlignment="1">
      <alignment horizontal="right" vertical="center"/>
    </xf>
    <xf numFmtId="165" fontId="12" fillId="5" borderId="49" xfId="0" applyNumberFormat="1" applyFont="1" applyFill="1" applyBorder="1" applyAlignment="1">
      <alignment horizontal="right" vertical="center"/>
    </xf>
    <xf numFmtId="0" fontId="12" fillId="5" borderId="25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/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quotePrefix="1" applyFont="1" applyBorder="1" applyAlignment="1">
      <alignment horizontal="right" vertical="top"/>
    </xf>
    <xf numFmtId="0" fontId="11" fillId="0" borderId="0" xfId="0" applyFont="1" applyFill="1"/>
    <xf numFmtId="0" fontId="12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right" vertical="center"/>
    </xf>
    <xf numFmtId="165" fontId="11" fillId="0" borderId="0" xfId="0" quotePrefix="1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1" fontId="12" fillId="4" borderId="8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165" fontId="11" fillId="6" borderId="0" xfId="0" applyNumberFormat="1" applyFont="1" applyFill="1" applyBorder="1" applyAlignment="1">
      <alignment horizontal="right" vertical="center"/>
    </xf>
    <xf numFmtId="165" fontId="11" fillId="6" borderId="53" xfId="0" applyNumberFormat="1" applyFont="1" applyFill="1" applyBorder="1" applyAlignment="1">
      <alignment horizontal="right" vertical="center"/>
    </xf>
    <xf numFmtId="165" fontId="11" fillId="6" borderId="5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1" fillId="5" borderId="0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quotePrefix="1" applyNumberFormat="1" applyFont="1" applyBorder="1" applyAlignment="1">
      <alignment horizontal="right" vertical="center"/>
    </xf>
    <xf numFmtId="165" fontId="11" fillId="6" borderId="0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11" fillId="6" borderId="8" xfId="0" quotePrefix="1" applyNumberFormat="1" applyFont="1" applyFill="1" applyBorder="1" applyAlignment="1">
      <alignment horizontal="right" vertical="center"/>
    </xf>
    <xf numFmtId="165" fontId="12" fillId="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7" borderId="2" xfId="0" applyFont="1" applyFill="1" applyBorder="1" applyAlignment="1">
      <alignment horizontal="center" vertical="center"/>
    </xf>
    <xf numFmtId="0" fontId="11" fillId="0" borderId="0" xfId="0" applyFont="1" applyBorder="1"/>
    <xf numFmtId="0" fontId="0" fillId="0" borderId="53" xfId="0" applyBorder="1"/>
    <xf numFmtId="0" fontId="12" fillId="0" borderId="0" xfId="0" applyFont="1" applyBorder="1" applyAlignment="1">
      <alignment horizontal="left" wrapText="1"/>
    </xf>
    <xf numFmtId="0" fontId="12" fillId="6" borderId="4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2" fillId="5" borderId="7" xfId="0" applyNumberFormat="1" applyFont="1" applyFill="1" applyBorder="1" applyAlignment="1">
      <alignment vertical="center"/>
    </xf>
    <xf numFmtId="165" fontId="12" fillId="5" borderId="5" xfId="0" applyNumberFormat="1" applyFont="1" applyFill="1" applyBorder="1" applyAlignment="1">
      <alignment vertical="center"/>
    </xf>
    <xf numFmtId="165" fontId="12" fillId="5" borderId="5" xfId="0" applyNumberFormat="1" applyFont="1" applyFill="1" applyBorder="1" applyAlignment="1">
      <alignment horizontal="right" vertical="center"/>
    </xf>
    <xf numFmtId="165" fontId="12" fillId="5" borderId="56" xfId="0" applyNumberFormat="1" applyFont="1" applyFill="1" applyBorder="1" applyAlignment="1">
      <alignment horizontal="right" vertical="center"/>
    </xf>
    <xf numFmtId="165" fontId="19" fillId="6" borderId="5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1" fillId="7" borderId="7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165" fontId="37" fillId="6" borderId="0" xfId="0" applyNumberFormat="1" applyFont="1" applyFill="1" applyBorder="1" applyAlignment="1">
      <alignment horizontal="right" vertical="center"/>
    </xf>
    <xf numFmtId="0" fontId="11" fillId="0" borderId="53" xfId="0" applyFont="1" applyBorder="1"/>
    <xf numFmtId="165" fontId="19" fillId="5" borderId="51" xfId="0" applyNumberFormat="1" applyFont="1" applyFill="1" applyBorder="1" applyAlignment="1">
      <alignment horizontal="right" vertical="center"/>
    </xf>
    <xf numFmtId="165" fontId="38" fillId="0" borderId="12" xfId="0" applyNumberFormat="1" applyFont="1" applyFill="1" applyBorder="1" applyAlignment="1">
      <alignment horizontal="right" vertical="center"/>
    </xf>
    <xf numFmtId="165" fontId="37" fillId="0" borderId="8" xfId="0" applyNumberFormat="1" applyFont="1" applyFill="1" applyBorder="1" applyAlignment="1">
      <alignment horizontal="right" vertical="center"/>
    </xf>
    <xf numFmtId="165" fontId="37" fillId="0" borderId="25" xfId="0" applyNumberFormat="1" applyFont="1" applyFill="1" applyBorder="1" applyAlignment="1">
      <alignment horizontal="right" vertical="center"/>
    </xf>
    <xf numFmtId="165" fontId="37" fillId="5" borderId="4" xfId="0" applyNumberFormat="1" applyFont="1" applyFill="1" applyBorder="1" applyAlignment="1">
      <alignment horizontal="right" vertical="center"/>
    </xf>
    <xf numFmtId="165" fontId="37" fillId="5" borderId="0" xfId="0" applyNumberFormat="1" applyFont="1" applyFill="1" applyBorder="1" applyAlignment="1">
      <alignment horizontal="right" vertical="center"/>
    </xf>
    <xf numFmtId="165" fontId="37" fillId="5" borderId="0" xfId="0" applyNumberFormat="1" applyFont="1" applyFill="1" applyBorder="1" applyAlignment="1">
      <alignment vertical="center"/>
    </xf>
    <xf numFmtId="165" fontId="37" fillId="0" borderId="4" xfId="0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 vertical="center"/>
    </xf>
    <xf numFmtId="165" fontId="37" fillId="6" borderId="4" xfId="0" applyNumberFormat="1" applyFont="1" applyFill="1" applyBorder="1" applyAlignment="1">
      <alignment horizontal="right" vertical="center"/>
    </xf>
    <xf numFmtId="0" fontId="36" fillId="0" borderId="53" xfId="0" applyFont="1" applyBorder="1"/>
    <xf numFmtId="165" fontId="37" fillId="5" borderId="53" xfId="0" applyNumberFormat="1" applyFont="1" applyFill="1" applyBorder="1" applyAlignment="1">
      <alignment horizontal="right" vertical="center"/>
    </xf>
    <xf numFmtId="165" fontId="37" fillId="0" borderId="4" xfId="0" quotePrefix="1" applyNumberFormat="1" applyFont="1" applyFill="1" applyBorder="1" applyAlignment="1">
      <alignment horizontal="right" vertical="center"/>
    </xf>
    <xf numFmtId="165" fontId="37" fillId="6" borderId="4" xfId="0" quotePrefix="1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vertical="center"/>
    </xf>
    <xf numFmtId="165" fontId="37" fillId="6" borderId="7" xfId="0" applyNumberFormat="1" applyFont="1" applyFill="1" applyBorder="1" applyAlignment="1">
      <alignment horizontal="right" vertical="center"/>
    </xf>
    <xf numFmtId="165" fontId="37" fillId="6" borderId="5" xfId="0" applyNumberFormat="1" applyFont="1" applyFill="1" applyBorder="1" applyAlignment="1">
      <alignment horizontal="right" vertical="center"/>
    </xf>
    <xf numFmtId="165" fontId="37" fillId="6" borderId="6" xfId="0" applyNumberFormat="1" applyFont="1" applyFill="1" applyBorder="1" applyAlignment="1">
      <alignment horizontal="right" vertical="center"/>
    </xf>
    <xf numFmtId="165" fontId="37" fillId="0" borderId="7" xfId="0" applyNumberFormat="1" applyFont="1" applyFill="1" applyBorder="1" applyAlignment="1">
      <alignment horizontal="right" vertical="center"/>
    </xf>
    <xf numFmtId="165" fontId="37" fillId="0" borderId="5" xfId="0" applyNumberFormat="1" applyFont="1" applyFill="1" applyBorder="1" applyAlignment="1">
      <alignment horizontal="right" vertical="center"/>
    </xf>
    <xf numFmtId="165" fontId="37" fillId="0" borderId="6" xfId="0" applyNumberFormat="1" applyFont="1" applyFill="1" applyBorder="1" applyAlignment="1">
      <alignment horizontal="right" vertical="center"/>
    </xf>
    <xf numFmtId="165" fontId="11" fillId="6" borderId="10" xfId="0" applyNumberFormat="1" applyFont="1" applyFill="1" applyBorder="1" applyAlignment="1">
      <alignment horizontal="right" vertical="center"/>
    </xf>
    <xf numFmtId="165" fontId="11" fillId="6" borderId="11" xfId="0" applyNumberFormat="1" applyFont="1" applyFill="1" applyBorder="1" applyAlignment="1">
      <alignment horizontal="right" vertical="center"/>
    </xf>
    <xf numFmtId="0" fontId="37" fillId="0" borderId="0" xfId="0" applyFont="1"/>
    <xf numFmtId="165" fontId="11" fillId="5" borderId="53" xfId="0" quotePrefix="1" applyNumberFormat="1" applyFont="1" applyFill="1" applyBorder="1" applyAlignment="1">
      <alignment horizontal="right" vertical="center"/>
    </xf>
    <xf numFmtId="0" fontId="40" fillId="0" borderId="0" xfId="0" applyFont="1"/>
    <xf numFmtId="0" fontId="12" fillId="0" borderId="0" xfId="0" applyFont="1" applyBorder="1" applyAlignment="1">
      <alignment horizontal="center" wrapText="1"/>
    </xf>
    <xf numFmtId="0" fontId="40" fillId="0" borderId="5" xfId="0" applyFont="1" applyBorder="1"/>
    <xf numFmtId="165" fontId="11" fillId="0" borderId="53" xfId="0" quotePrefix="1" applyNumberFormat="1" applyFont="1" applyBorder="1" applyAlignment="1">
      <alignment horizontal="right" vertical="center"/>
    </xf>
    <xf numFmtId="165" fontId="11" fillId="0" borderId="6" xfId="0" quotePrefix="1" applyNumberFormat="1" applyFont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1" fontId="12" fillId="4" borderId="0" xfId="0" applyNumberFormat="1" applyFont="1" applyFill="1" applyBorder="1" applyAlignment="1">
      <alignment horizontal="center"/>
    </xf>
    <xf numFmtId="1" fontId="12" fillId="4" borderId="25" xfId="0" applyNumberFormat="1" applyFont="1" applyFill="1" applyBorder="1" applyAlignment="1">
      <alignment horizontal="center"/>
    </xf>
    <xf numFmtId="1" fontId="12" fillId="4" borderId="53" xfId="0" applyNumberFormat="1" applyFont="1" applyFill="1" applyBorder="1" applyAlignment="1">
      <alignment horizontal="center"/>
    </xf>
    <xf numFmtId="165" fontId="12" fillId="5" borderId="6" xfId="0" applyNumberFormat="1" applyFont="1" applyFill="1" applyBorder="1" applyAlignment="1">
      <alignment horizontal="right" vertical="center"/>
    </xf>
    <xf numFmtId="165" fontId="12" fillId="5" borderId="11" xfId="0" applyNumberFormat="1" applyFont="1" applyFill="1" applyBorder="1" applyAlignment="1">
      <alignment vertical="center"/>
    </xf>
    <xf numFmtId="0" fontId="14" fillId="0" borderId="0" xfId="0" quotePrefix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6" borderId="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6" borderId="0" xfId="0" applyNumberFormat="1" applyFont="1" applyFill="1" applyBorder="1" applyAlignment="1">
      <alignment horizontal="right" vertical="center"/>
    </xf>
    <xf numFmtId="167" fontId="11" fillId="0" borderId="51" xfId="0" applyNumberFormat="1" applyFont="1" applyFill="1" applyBorder="1" applyAlignment="1">
      <alignment horizontal="right" vertical="center"/>
    </xf>
    <xf numFmtId="165" fontId="11" fillId="5" borderId="51" xfId="0" applyNumberFormat="1" applyFont="1" applyFill="1" applyBorder="1" applyAlignment="1">
      <alignment horizontal="right" vertical="center"/>
    </xf>
    <xf numFmtId="167" fontId="11" fillId="0" borderId="5" xfId="0" applyNumberFormat="1" applyFont="1" applyFill="1" applyBorder="1" applyAlignment="1">
      <alignment horizontal="right" vertical="center"/>
    </xf>
    <xf numFmtId="167" fontId="11" fillId="6" borderId="5" xfId="0" applyNumberFormat="1" applyFont="1" applyFill="1" applyBorder="1" applyAlignment="1">
      <alignment horizontal="right" vertical="center"/>
    </xf>
    <xf numFmtId="165" fontId="11" fillId="6" borderId="6" xfId="0" applyNumberFormat="1" applyFont="1" applyFill="1" applyBorder="1" applyAlignment="1">
      <alignment horizontal="right" vertical="center"/>
    </xf>
    <xf numFmtId="165" fontId="37" fillId="5" borderId="53" xfId="0" applyNumberFormat="1" applyFont="1" applyFill="1" applyBorder="1" applyAlignment="1">
      <alignment vertical="center"/>
    </xf>
    <xf numFmtId="165" fontId="37" fillId="0" borderId="53" xfId="0" applyNumberFormat="1" applyFont="1" applyFill="1" applyBorder="1" applyAlignment="1">
      <alignment horizontal="right" vertical="center"/>
    </xf>
    <xf numFmtId="165" fontId="38" fillId="0" borderId="53" xfId="0" applyNumberFormat="1" applyFont="1" applyFill="1" applyBorder="1" applyAlignment="1">
      <alignment horizontal="right" vertical="center"/>
    </xf>
    <xf numFmtId="165" fontId="37" fillId="6" borderId="53" xfId="0" applyNumberFormat="1" applyFont="1" applyFill="1" applyBorder="1" applyAlignment="1">
      <alignment horizontal="right" vertical="center"/>
    </xf>
    <xf numFmtId="165" fontId="37" fillId="0" borderId="53" xfId="0" applyNumberFormat="1" applyFont="1" applyFill="1" applyBorder="1" applyAlignment="1">
      <alignment vertical="center"/>
    </xf>
    <xf numFmtId="165" fontId="37" fillId="6" borderId="0" xfId="0" applyNumberFormat="1" applyFont="1" applyFill="1" applyBorder="1" applyAlignment="1">
      <alignment vertical="center"/>
    </xf>
    <xf numFmtId="165" fontId="37" fillId="6" borderId="53" xfId="0" applyNumberFormat="1" applyFont="1" applyFill="1" applyBorder="1" applyAlignment="1">
      <alignment vertical="center"/>
    </xf>
    <xf numFmtId="165" fontId="38" fillId="6" borderId="53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/>
    <xf numFmtId="0" fontId="41" fillId="0" borderId="0" xfId="0" applyFont="1"/>
    <xf numFmtId="0" fontId="42" fillId="0" borderId="0" xfId="0" applyFont="1" applyFill="1" applyBorder="1"/>
    <xf numFmtId="165" fontId="42" fillId="0" borderId="0" xfId="0" applyNumberFormat="1" applyFont="1" applyFill="1" applyBorder="1"/>
    <xf numFmtId="0" fontId="41" fillId="0" borderId="0" xfId="0" applyFont="1" applyFill="1"/>
    <xf numFmtId="0" fontId="41" fillId="0" borderId="0" xfId="0" applyFont="1" applyFill="1" applyAlignment="1">
      <alignment horizontal="center"/>
    </xf>
    <xf numFmtId="165" fontId="41" fillId="0" borderId="0" xfId="0" applyNumberFormat="1" applyFont="1"/>
    <xf numFmtId="0" fontId="12" fillId="5" borderId="0" xfId="0" applyFont="1" applyFill="1" applyBorder="1" applyAlignment="1">
      <alignment horizontal="center" vertical="center"/>
    </xf>
    <xf numFmtId="0" fontId="0" fillId="0" borderId="5" xfId="0" applyBorder="1"/>
    <xf numFmtId="1" fontId="12" fillId="4" borderId="11" xfId="0" applyNumberFormat="1" applyFont="1" applyFill="1" applyBorder="1" applyAlignment="1">
      <alignment horizontal="center" vertical="center" wrapText="1"/>
    </xf>
    <xf numFmtId="1" fontId="12" fillId="4" borderId="57" xfId="0" applyNumberFormat="1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1" fontId="12" fillId="4" borderId="59" xfId="0" applyNumberFormat="1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5" fontId="11" fillId="6" borderId="49" xfId="0" applyNumberFormat="1" applyFont="1" applyFill="1" applyBorder="1" applyAlignment="1">
      <alignment horizontal="right" vertical="center"/>
    </xf>
    <xf numFmtId="165" fontId="19" fillId="6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" fontId="12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165" fontId="19" fillId="5" borderId="53" xfId="0" applyNumberFormat="1" applyFont="1" applyFill="1" applyBorder="1" applyAlignment="1">
      <alignment horizontal="right" vertical="center"/>
    </xf>
    <xf numFmtId="165" fontId="19" fillId="6" borderId="25" xfId="0" applyNumberFormat="1" applyFont="1" applyFill="1" applyBorder="1" applyAlignment="1">
      <alignment horizontal="right" vertical="center"/>
    </xf>
    <xf numFmtId="165" fontId="38" fillId="6" borderId="0" xfId="0" applyNumberFormat="1" applyFont="1" applyFill="1" applyBorder="1" applyAlignment="1">
      <alignment horizontal="right" vertical="center"/>
    </xf>
    <xf numFmtId="164" fontId="12" fillId="5" borderId="49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12" fillId="5" borderId="53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164" fontId="12" fillId="6" borderId="53" xfId="0" applyNumberFormat="1" applyFont="1" applyFill="1" applyBorder="1" applyAlignment="1">
      <alignment horizontal="center" vertical="center"/>
    </xf>
    <xf numFmtId="165" fontId="11" fillId="6" borderId="10" xfId="0" applyNumberFormat="1" applyFont="1" applyFill="1" applyBorder="1" applyAlignment="1">
      <alignment vertical="center"/>
    </xf>
    <xf numFmtId="1" fontId="12" fillId="4" borderId="53" xfId="0" applyNumberFormat="1" applyFont="1" applyFill="1" applyBorder="1" applyAlignment="1">
      <alignment horizontal="center" vertical="center"/>
    </xf>
    <xf numFmtId="165" fontId="11" fillId="5" borderId="2" xfId="0" quotePrefix="1" applyNumberFormat="1" applyFont="1" applyFill="1" applyBorder="1" applyAlignment="1">
      <alignment horizontal="right" vertical="center"/>
    </xf>
    <xf numFmtId="1" fontId="12" fillId="5" borderId="3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vertical="center"/>
    </xf>
    <xf numFmtId="0" fontId="37" fillId="6" borderId="48" xfId="0" applyFont="1" applyFill="1" applyBorder="1" applyAlignment="1">
      <alignment vertical="center"/>
    </xf>
    <xf numFmtId="0" fontId="37" fillId="6" borderId="53" xfId="0" applyFont="1" applyFill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 wrapText="1"/>
    </xf>
    <xf numFmtId="0" fontId="0" fillId="0" borderId="7" xfId="0" applyBorder="1"/>
    <xf numFmtId="1" fontId="12" fillId="0" borderId="7" xfId="0" applyNumberFormat="1" applyFont="1" applyFill="1" applyBorder="1" applyAlignment="1">
      <alignment horizontal="center" vertical="center"/>
    </xf>
    <xf numFmtId="165" fontId="20" fillId="5" borderId="11" xfId="0" applyNumberFormat="1" applyFont="1" applyFill="1" applyBorder="1" applyAlignment="1">
      <alignment horizontal="right" vertical="center"/>
    </xf>
    <xf numFmtId="165" fontId="11" fillId="6" borderId="8" xfId="0" applyNumberFormat="1" applyFont="1" applyFill="1" applyBorder="1" applyAlignment="1">
      <alignment horizontal="right" vertical="center"/>
    </xf>
    <xf numFmtId="165" fontId="11" fillId="0" borderId="25" xfId="0" applyNumberFormat="1" applyFont="1" applyFill="1" applyBorder="1" applyAlignment="1">
      <alignment horizontal="right" vertical="center"/>
    </xf>
    <xf numFmtId="0" fontId="39" fillId="5" borderId="2" xfId="0" applyFont="1" applyFill="1" applyBorder="1" applyAlignment="1">
      <alignment horizontal="center" vertical="center"/>
    </xf>
    <xf numFmtId="165" fontId="38" fillId="0" borderId="4" xfId="0" quotePrefix="1" applyNumberFormat="1" applyFont="1" applyFill="1" applyBorder="1" applyAlignment="1">
      <alignment horizontal="right" vertical="center"/>
    </xf>
    <xf numFmtId="165" fontId="12" fillId="4" borderId="10" xfId="0" applyNumberFormat="1" applyFont="1" applyFill="1" applyBorder="1" applyAlignment="1">
      <alignment horizontal="center" vertical="center"/>
    </xf>
    <xf numFmtId="0" fontId="40" fillId="0" borderId="53" xfId="0" applyFont="1" applyBorder="1"/>
    <xf numFmtId="1" fontId="40" fillId="0" borderId="53" xfId="0" applyNumberFormat="1" applyFont="1" applyBorder="1"/>
    <xf numFmtId="165" fontId="12" fillId="0" borderId="5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65" fontId="0" fillId="0" borderId="0" xfId="0" applyNumberFormat="1"/>
    <xf numFmtId="1" fontId="12" fillId="4" borderId="11" xfId="0" applyNumberFormat="1" applyFont="1" applyFill="1" applyBorder="1" applyAlignment="1">
      <alignment horizontal="center" vertical="center"/>
    </xf>
    <xf numFmtId="0" fontId="0" fillId="0" borderId="4" xfId="0" applyBorder="1"/>
    <xf numFmtId="0" fontId="38" fillId="6" borderId="7" xfId="0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vertical="center"/>
    </xf>
    <xf numFmtId="0" fontId="36" fillId="6" borderId="5" xfId="0" applyFont="1" applyFill="1" applyBorder="1" applyAlignment="1">
      <alignment vertical="center"/>
    </xf>
    <xf numFmtId="0" fontId="37" fillId="6" borderId="14" xfId="0" applyFont="1" applyFill="1" applyBorder="1" applyAlignment="1">
      <alignment vertical="center"/>
    </xf>
    <xf numFmtId="0" fontId="37" fillId="6" borderId="6" xfId="0" applyFont="1" applyFill="1" applyBorder="1" applyAlignment="1">
      <alignment horizontal="center" vertical="center"/>
    </xf>
    <xf numFmtId="0" fontId="37" fillId="6" borderId="53" xfId="0" quotePrefix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53" xfId="0" applyNumberFormat="1" applyFont="1" applyFill="1" applyBorder="1" applyAlignment="1">
      <alignment horizontal="center" wrapText="1"/>
    </xf>
    <xf numFmtId="165" fontId="11" fillId="0" borderId="2" xfId="0" applyNumberFormat="1" applyFont="1" applyBorder="1" applyAlignment="1">
      <alignment vertical="center"/>
    </xf>
    <xf numFmtId="165" fontId="11" fillId="5" borderId="2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165" fontId="11" fillId="0" borderId="2" xfId="0" quotePrefix="1" applyNumberFormat="1" applyFont="1" applyBorder="1" applyAlignment="1">
      <alignment horizontal="right" vertical="center"/>
    </xf>
    <xf numFmtId="165" fontId="11" fillId="0" borderId="3" xfId="0" applyNumberFormat="1" applyFont="1" applyFill="1" applyBorder="1" applyAlignment="1">
      <alignment vertical="center"/>
    </xf>
    <xf numFmtId="165" fontId="11" fillId="6" borderId="3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165" fontId="11" fillId="6" borderId="2" xfId="0" applyNumberFormat="1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vertical="center"/>
    </xf>
    <xf numFmtId="165" fontId="11" fillId="5" borderId="1" xfId="0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quotePrefix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left" wrapText="1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left"/>
    </xf>
    <xf numFmtId="0" fontId="14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5" fontId="37" fillId="6" borderId="0" xfId="0" applyNumberFormat="1" applyFont="1" applyFill="1" applyBorder="1" applyAlignment="1">
      <alignment horizontal="center" vertical="center"/>
    </xf>
    <xf numFmtId="165" fontId="37" fillId="6" borderId="53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165" fontId="37" fillId="0" borderId="5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1" fontId="12" fillId="4" borderId="8" xfId="0" applyNumberFormat="1" applyFont="1" applyFill="1" applyBorder="1" applyAlignment="1">
      <alignment horizontal="right"/>
    </xf>
    <xf numFmtId="1" fontId="12" fillId="4" borderId="25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quotePrefix="1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8" fillId="4" borderId="8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/>
    <xf numFmtId="0" fontId="15" fillId="0" borderId="0" xfId="0" applyFont="1" applyAlignment="1"/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wrapText="1"/>
    </xf>
    <xf numFmtId="0" fontId="15" fillId="0" borderId="47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39" fillId="0" borderId="8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0" fillId="0" borderId="0" xfId="0" applyBorder="1" applyAlignment="1">
      <alignment wrapText="1"/>
    </xf>
  </cellXfs>
  <cellStyles count="27">
    <cellStyle name="Comma 2" xfId="24"/>
    <cellStyle name="Milliers 2" xfId="20"/>
    <cellStyle name="Normal" xfId="0" builtinId="0"/>
    <cellStyle name="Normal 10" xfId="12"/>
    <cellStyle name="Normal 10 2" xfId="19"/>
    <cellStyle name="Normal 11" xfId="21"/>
    <cellStyle name="Normal 2" xfId="4"/>
    <cellStyle name="Normal 2 2" xfId="13"/>
    <cellStyle name="Normal 2 3" xfId="23"/>
    <cellStyle name="Normal 3" xfId="5"/>
    <cellStyle name="Normal 3 2" xfId="14"/>
    <cellStyle name="Normal 3 3" xfId="26"/>
    <cellStyle name="Normal 4" xfId="6"/>
    <cellStyle name="Normal 5" xfId="7"/>
    <cellStyle name="Normal 6" xfId="8"/>
    <cellStyle name="Normal 6 2" xfId="15"/>
    <cellStyle name="Normal 7" xfId="9"/>
    <cellStyle name="Normal 7 2" xfId="16"/>
    <cellStyle name="Normal 8" xfId="10"/>
    <cellStyle name="Normal 8 2" xfId="17"/>
    <cellStyle name="Normal 9" xfId="11"/>
    <cellStyle name="Normal 9 2" xfId="18"/>
    <cellStyle name="Percent 2" xfId="22"/>
    <cellStyle name="Standard 3" xfId="25"/>
    <cellStyle name="Standard_E00seit45" xfId="1"/>
    <cellStyle name="Titre ligne" xfId="2"/>
    <cellStyle name="Total intermediaire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E56"/>
  <sheetViews>
    <sheetView topLeftCell="A16" workbookViewId="0">
      <selection activeCell="F16" sqref="F16"/>
    </sheetView>
  </sheetViews>
  <sheetFormatPr defaultRowHeight="12.75" x14ac:dyDescent="0.2"/>
  <cols>
    <col min="1" max="1" width="0.85546875" style="4" customWidth="1"/>
    <col min="2" max="2" width="5.42578125" style="105" customWidth="1"/>
    <col min="3" max="3" width="2" style="106" customWidth="1"/>
    <col min="4" max="4" width="51.5703125" style="4" customWidth="1"/>
    <col min="5" max="5" width="8.5703125" style="4" customWidth="1"/>
    <col min="6" max="16384" width="9.140625" style="4"/>
  </cols>
  <sheetData>
    <row r="1" spans="2:5" ht="20.100000000000001" customHeight="1" x14ac:dyDescent="0.2">
      <c r="B1" s="479" t="s">
        <v>63</v>
      </c>
      <c r="C1" s="479"/>
      <c r="D1" s="479"/>
      <c r="E1" s="479"/>
    </row>
    <row r="2" spans="2:5" ht="20.100000000000001" customHeight="1" x14ac:dyDescent="0.2">
      <c r="B2" s="480" t="s">
        <v>64</v>
      </c>
      <c r="C2" s="480"/>
      <c r="D2" s="480"/>
      <c r="E2" s="480"/>
    </row>
    <row r="3" spans="2:5" ht="20.100000000000001" customHeight="1" x14ac:dyDescent="0.2">
      <c r="B3" s="481" t="s">
        <v>79</v>
      </c>
      <c r="C3" s="481"/>
      <c r="D3" s="481"/>
      <c r="E3" s="481"/>
    </row>
    <row r="4" spans="2:5" ht="20.100000000000001" customHeight="1" x14ac:dyDescent="0.2">
      <c r="B4" s="482" t="s">
        <v>65</v>
      </c>
      <c r="C4" s="482"/>
      <c r="D4" s="482"/>
      <c r="E4" s="482"/>
    </row>
    <row r="5" spans="2:5" ht="20.100000000000001" customHeight="1" x14ac:dyDescent="0.2">
      <c r="B5" s="62"/>
      <c r="C5" s="62"/>
      <c r="D5" s="62"/>
      <c r="E5" s="62"/>
    </row>
    <row r="6" spans="2:5" ht="20.100000000000001" customHeight="1" x14ac:dyDescent="0.2"/>
    <row r="7" spans="2:5" ht="20.100000000000001" customHeight="1" x14ac:dyDescent="0.2">
      <c r="B7" s="479" t="s">
        <v>89</v>
      </c>
      <c r="C7" s="479"/>
      <c r="D7" s="479"/>
      <c r="E7" s="479"/>
    </row>
    <row r="8" spans="2:5" ht="20.100000000000001" customHeight="1" x14ac:dyDescent="0.2">
      <c r="B8" s="478">
        <v>2021</v>
      </c>
      <c r="C8" s="478"/>
      <c r="D8" s="478"/>
      <c r="E8" s="478"/>
    </row>
    <row r="9" spans="2:5" ht="20.100000000000001" customHeight="1" x14ac:dyDescent="0.2">
      <c r="B9" s="68"/>
      <c r="C9" s="68"/>
      <c r="D9" s="68"/>
      <c r="E9" s="68"/>
    </row>
    <row r="10" spans="2:5" ht="20.100000000000001" customHeight="1" x14ac:dyDescent="0.2">
      <c r="B10" s="483" t="s">
        <v>90</v>
      </c>
      <c r="C10" s="483"/>
      <c r="D10" s="483"/>
      <c r="E10" s="483"/>
    </row>
    <row r="11" spans="2:5" ht="20.100000000000001" customHeight="1" x14ac:dyDescent="0.2">
      <c r="B11" s="107"/>
      <c r="E11" s="107"/>
    </row>
    <row r="12" spans="2:5" ht="20.100000000000001" customHeight="1" x14ac:dyDescent="0.2">
      <c r="B12" s="477" t="s">
        <v>80</v>
      </c>
      <c r="C12" s="477"/>
      <c r="D12" s="477"/>
      <c r="E12" s="477"/>
    </row>
    <row r="13" spans="2:5" customFormat="1" ht="20.100000000000001" customHeight="1" x14ac:dyDescent="0.2">
      <c r="B13" s="477" t="s">
        <v>61</v>
      </c>
      <c r="C13" s="477"/>
      <c r="D13" s="477"/>
      <c r="E13" s="477"/>
    </row>
    <row r="14" spans="2:5" ht="20.100000000000001" customHeight="1" x14ac:dyDescent="0.2">
      <c r="B14" s="107"/>
      <c r="D14"/>
      <c r="E14" s="107"/>
    </row>
    <row r="15" spans="2:5" ht="20.100000000000001" customHeight="1" x14ac:dyDescent="0.2">
      <c r="B15" s="107"/>
      <c r="E15" s="107"/>
    </row>
    <row r="16" spans="2:5" customFormat="1" ht="15" customHeight="1" x14ac:dyDescent="0.2">
      <c r="B16" s="108" t="s">
        <v>81</v>
      </c>
      <c r="C16" s="109"/>
      <c r="D16" s="405" t="s">
        <v>127</v>
      </c>
      <c r="E16" s="107"/>
    </row>
    <row r="17" spans="2:5" customFormat="1" ht="15" customHeight="1" x14ac:dyDescent="0.2">
      <c r="B17" s="108" t="s">
        <v>82</v>
      </c>
      <c r="C17" s="109"/>
      <c r="D17" s="406" t="s">
        <v>128</v>
      </c>
      <c r="E17" s="107"/>
    </row>
    <row r="18" spans="2:5" ht="15" customHeight="1" x14ac:dyDescent="0.2">
      <c r="B18" s="108" t="s">
        <v>83</v>
      </c>
      <c r="C18" s="109"/>
      <c r="D18" s="405" t="s">
        <v>129</v>
      </c>
      <c r="E18" s="107"/>
    </row>
    <row r="19" spans="2:5" ht="15" customHeight="1" x14ac:dyDescent="0.2">
      <c r="B19" s="108" t="s">
        <v>84</v>
      </c>
      <c r="C19" s="109"/>
      <c r="D19" s="405" t="s">
        <v>130</v>
      </c>
      <c r="E19" s="107"/>
    </row>
    <row r="20" spans="2:5" customFormat="1" ht="15" customHeight="1" x14ac:dyDescent="0.2">
      <c r="B20" s="108" t="s">
        <v>85</v>
      </c>
      <c r="C20" s="109"/>
      <c r="D20" s="406" t="s">
        <v>131</v>
      </c>
    </row>
    <row r="21" spans="2:5" ht="15" customHeight="1" x14ac:dyDescent="0.2">
      <c r="B21" s="108" t="s">
        <v>86</v>
      </c>
      <c r="C21" s="109"/>
      <c r="D21" s="406" t="s">
        <v>132</v>
      </c>
      <c r="E21"/>
    </row>
    <row r="22" spans="2:5" ht="15" customHeight="1" x14ac:dyDescent="0.2">
      <c r="B22" s="108" t="s">
        <v>87</v>
      </c>
      <c r="C22" s="109"/>
      <c r="D22" s="405" t="s">
        <v>134</v>
      </c>
      <c r="E22" s="107"/>
    </row>
    <row r="23" spans="2:5" ht="15" customHeight="1" x14ac:dyDescent="0.2">
      <c r="B23" s="108" t="s">
        <v>88</v>
      </c>
      <c r="C23" s="109"/>
      <c r="D23" s="405" t="s">
        <v>133</v>
      </c>
      <c r="E23" s="107"/>
    </row>
    <row r="24" spans="2:5" x14ac:dyDescent="0.2">
      <c r="B24" s="107"/>
      <c r="E24" s="107"/>
    </row>
    <row r="25" spans="2:5" x14ac:dyDescent="0.2">
      <c r="C25"/>
    </row>
    <row r="26" spans="2:5" x14ac:dyDescent="0.2">
      <c r="B26"/>
      <c r="C26"/>
      <c r="D26"/>
      <c r="E26"/>
    </row>
    <row r="27" spans="2:5" ht="13.5" x14ac:dyDescent="0.25">
      <c r="B27" s="110"/>
      <c r="E27"/>
    </row>
    <row r="28" spans="2:5" x14ac:dyDescent="0.2">
      <c r="B28" s="107"/>
      <c r="E28" s="107"/>
    </row>
    <row r="29" spans="2:5" x14ac:dyDescent="0.2">
      <c r="B29" s="107"/>
      <c r="E29" s="107"/>
    </row>
    <row r="30" spans="2:5" x14ac:dyDescent="0.2">
      <c r="B30" s="107"/>
      <c r="E30" s="107"/>
    </row>
    <row r="31" spans="2:5" x14ac:dyDescent="0.2">
      <c r="B31" s="107"/>
      <c r="E31" s="107"/>
    </row>
    <row r="32" spans="2:5" x14ac:dyDescent="0.2">
      <c r="B32" s="107"/>
      <c r="E32" s="107"/>
    </row>
    <row r="33" spans="2:5" x14ac:dyDescent="0.2">
      <c r="B33" s="107"/>
      <c r="E33" s="107"/>
    </row>
    <row r="34" spans="2:5" x14ac:dyDescent="0.2">
      <c r="B34" s="107"/>
      <c r="E34" s="107"/>
    </row>
    <row r="36" spans="2:5" ht="13.5" x14ac:dyDescent="0.25">
      <c r="B36" s="110"/>
      <c r="E36"/>
    </row>
    <row r="37" spans="2:5" x14ac:dyDescent="0.2">
      <c r="B37" s="107"/>
      <c r="E37" s="107"/>
    </row>
    <row r="38" spans="2:5" x14ac:dyDescent="0.2">
      <c r="B38" s="107"/>
      <c r="E38" s="107"/>
    </row>
    <row r="39" spans="2:5" x14ac:dyDescent="0.2">
      <c r="B39" s="107"/>
      <c r="E39" s="107"/>
    </row>
    <row r="46" spans="2:5" x14ac:dyDescent="0.2">
      <c r="C46" s="111"/>
      <c r="D46" s="112"/>
    </row>
    <row r="53" spans="3:5" customFormat="1" x14ac:dyDescent="0.2"/>
    <row r="56" spans="3:5" x14ac:dyDescent="0.2">
      <c r="C56"/>
      <c r="D56"/>
      <c r="E56"/>
    </row>
  </sheetData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honeticPr fontId="11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M54"/>
  <sheetViews>
    <sheetView topLeftCell="W10" zoomScaleNormal="100" workbookViewId="0">
      <selection activeCell="AR13" sqref="AR13"/>
    </sheetView>
  </sheetViews>
  <sheetFormatPr defaultRowHeight="11.25" x14ac:dyDescent="0.2"/>
  <cols>
    <col min="1" max="1" width="2.7109375" style="284" customWidth="1"/>
    <col min="2" max="2" width="13.7109375" style="284" customWidth="1"/>
    <col min="3" max="3" width="6.42578125" style="284" customWidth="1"/>
    <col min="4" max="4" width="6.5703125" style="284" customWidth="1"/>
    <col min="5" max="5" width="6.140625" style="284" customWidth="1"/>
    <col min="6" max="9" width="6.28515625" style="284" customWidth="1"/>
    <col min="10" max="13" width="6.140625" style="284" customWidth="1"/>
    <col min="14" max="14" width="6.5703125" style="284" customWidth="1"/>
    <col min="15" max="22" width="6.140625" style="284" customWidth="1"/>
    <col min="23" max="34" width="6.42578125" style="284" customWidth="1"/>
    <col min="35" max="35" width="8.42578125" style="284" customWidth="1"/>
    <col min="36" max="16384" width="9.140625" style="284"/>
  </cols>
  <sheetData>
    <row r="1" spans="1:35" ht="14.25" customHeight="1" x14ac:dyDescent="0.2">
      <c r="B1" s="484"/>
      <c r="C1" s="484"/>
      <c r="D1" s="368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AI1" s="286" t="s">
        <v>81</v>
      </c>
    </row>
    <row r="2" spans="1:35" ht="30" customHeight="1" x14ac:dyDescent="0.2">
      <c r="B2" s="487" t="s">
        <v>135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8"/>
    </row>
    <row r="3" spans="1:35" ht="15" customHeight="1" x14ac:dyDescent="0.2">
      <c r="B3" s="485" t="s">
        <v>15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5" ht="12.75" x14ac:dyDescent="0.2">
      <c r="B4" s="3"/>
      <c r="C4" s="3"/>
      <c r="E4" s="154"/>
      <c r="F4" s="154"/>
      <c r="G4" s="154"/>
      <c r="H4" s="154"/>
      <c r="I4" s="154"/>
      <c r="J4" s="20"/>
      <c r="K4" s="20"/>
      <c r="L4" s="20"/>
      <c r="M4" s="20"/>
      <c r="N4" s="20"/>
      <c r="O4" s="20"/>
      <c r="V4" s="27"/>
      <c r="W4" s="61"/>
      <c r="X4" s="61"/>
      <c r="Y4" s="61"/>
      <c r="Z4" s="61"/>
      <c r="AA4" s="61"/>
      <c r="AB4" s="61"/>
      <c r="AC4" s="61"/>
      <c r="AD4" s="61"/>
      <c r="AF4" s="61"/>
      <c r="AH4" s="61" t="s">
        <v>4</v>
      </c>
      <c r="AI4" s="61"/>
    </row>
    <row r="5" spans="1:35" ht="24.95" customHeight="1" x14ac:dyDescent="0.2">
      <c r="B5" s="128"/>
      <c r="C5" s="35">
        <v>1970</v>
      </c>
      <c r="D5" s="36">
        <v>1980</v>
      </c>
      <c r="E5" s="36">
        <v>1990</v>
      </c>
      <c r="F5" s="36">
        <v>1991</v>
      </c>
      <c r="G5" s="36">
        <v>1992</v>
      </c>
      <c r="H5" s="36">
        <v>1993</v>
      </c>
      <c r="I5" s="36">
        <v>1994</v>
      </c>
      <c r="J5" s="36">
        <v>1995</v>
      </c>
      <c r="K5" s="36">
        <v>1996</v>
      </c>
      <c r="L5" s="36">
        <v>1997</v>
      </c>
      <c r="M5" s="36">
        <v>1998</v>
      </c>
      <c r="N5" s="36">
        <v>1999</v>
      </c>
      <c r="O5" s="36">
        <v>2000</v>
      </c>
      <c r="P5" s="36">
        <v>2001</v>
      </c>
      <c r="Q5" s="36">
        <v>2002</v>
      </c>
      <c r="R5" s="36">
        <v>2003</v>
      </c>
      <c r="S5" s="36">
        <v>2004</v>
      </c>
      <c r="T5" s="36">
        <v>2005</v>
      </c>
      <c r="U5" s="36">
        <v>2006</v>
      </c>
      <c r="V5" s="36">
        <v>2007</v>
      </c>
      <c r="W5" s="36">
        <v>2008</v>
      </c>
      <c r="X5" s="36">
        <v>2009</v>
      </c>
      <c r="Y5" s="36">
        <v>2010</v>
      </c>
      <c r="Z5" s="36">
        <v>2011</v>
      </c>
      <c r="AA5" s="36">
        <v>2012</v>
      </c>
      <c r="AB5" s="36">
        <v>2013</v>
      </c>
      <c r="AC5" s="265">
        <v>2014</v>
      </c>
      <c r="AD5" s="265">
        <v>2015</v>
      </c>
      <c r="AE5" s="265">
        <v>2016</v>
      </c>
      <c r="AF5" s="36">
        <v>2017</v>
      </c>
      <c r="AG5" s="36">
        <v>2018</v>
      </c>
      <c r="AH5" s="36">
        <v>2019</v>
      </c>
      <c r="AI5" s="443"/>
    </row>
    <row r="6" spans="1:35" ht="14.25" customHeight="1" x14ac:dyDescent="0.2">
      <c r="B6" s="273" t="s">
        <v>106</v>
      </c>
      <c r="C6" s="279"/>
      <c r="D6" s="270"/>
      <c r="E6" s="274">
        <f>SUM(E8:E34)</f>
        <v>38995</v>
      </c>
      <c r="F6" s="274">
        <f t="shared" ref="F6:AF6" si="0">SUM(F8:F34)</f>
        <v>40000</v>
      </c>
      <c r="G6" s="274">
        <f t="shared" si="0"/>
        <v>42039</v>
      </c>
      <c r="H6" s="274">
        <f t="shared" si="0"/>
        <v>42884</v>
      </c>
      <c r="I6" s="274">
        <f t="shared" si="0"/>
        <v>43537</v>
      </c>
      <c r="J6" s="274">
        <f t="shared" si="0"/>
        <v>44889</v>
      </c>
      <c r="K6" s="274">
        <f t="shared" si="0"/>
        <v>45956</v>
      </c>
      <c r="L6" s="274">
        <f t="shared" si="0"/>
        <v>47237.9</v>
      </c>
      <c r="M6" s="274">
        <f t="shared" si="0"/>
        <v>49096.1</v>
      </c>
      <c r="N6" s="274">
        <f t="shared" si="0"/>
        <v>50719.1</v>
      </c>
      <c r="O6" s="274">
        <f t="shared" si="0"/>
        <v>51530.1</v>
      </c>
      <c r="P6" s="274">
        <f t="shared" si="0"/>
        <v>53238.7</v>
      </c>
      <c r="Q6" s="274">
        <f t="shared" si="0"/>
        <v>54530</v>
      </c>
      <c r="R6" s="274">
        <f t="shared" si="0"/>
        <v>55944.5</v>
      </c>
      <c r="S6" s="274">
        <f t="shared" si="0"/>
        <v>57597.695</v>
      </c>
      <c r="T6" s="274">
        <f t="shared" si="0"/>
        <v>59474.004999999997</v>
      </c>
      <c r="U6" s="274">
        <f t="shared" si="0"/>
        <v>61048.504999999997</v>
      </c>
      <c r="V6" s="274">
        <f t="shared" si="0"/>
        <v>62601.542000000001</v>
      </c>
      <c r="W6" s="274">
        <f t="shared" si="0"/>
        <v>64141.489000000001</v>
      </c>
      <c r="X6" s="274">
        <f t="shared" si="0"/>
        <v>66292.179999999993</v>
      </c>
      <c r="Y6" s="274">
        <f t="shared" si="0"/>
        <v>67449.89499999999</v>
      </c>
      <c r="Z6" s="274">
        <f t="shared" si="0"/>
        <v>68118.407000000007</v>
      </c>
      <c r="AA6" s="274">
        <f t="shared" si="0"/>
        <v>69298.506999999983</v>
      </c>
      <c r="AB6" s="274">
        <f t="shared" si="0"/>
        <v>70398.706999999995</v>
      </c>
      <c r="AC6" s="274">
        <f t="shared" si="0"/>
        <v>70917.706000000006</v>
      </c>
      <c r="AD6" s="274">
        <f t="shared" si="0"/>
        <v>71888.407000000007</v>
      </c>
      <c r="AE6" s="274">
        <f t="shared" si="0"/>
        <v>72886.370999999985</v>
      </c>
      <c r="AF6" s="274">
        <f t="shared" si="0"/>
        <v>73425.3</v>
      </c>
      <c r="AG6" s="274">
        <f>SUM(AG8:AG34)</f>
        <v>73862.551999999996</v>
      </c>
      <c r="AH6" s="444">
        <f>SUM(AH8:AH34)</f>
        <v>74009.2</v>
      </c>
      <c r="AI6" s="275" t="s">
        <v>106</v>
      </c>
    </row>
    <row r="7" spans="1:35" ht="12.75" customHeight="1" x14ac:dyDescent="0.2">
      <c r="B7" s="273" t="s">
        <v>94</v>
      </c>
      <c r="C7" s="279"/>
      <c r="D7" s="270"/>
      <c r="E7" s="274">
        <f>SUM(E8:E35)</f>
        <v>42176</v>
      </c>
      <c r="F7" s="274">
        <f t="shared" ref="F7:AF7" si="1">SUM(F8:F35)</f>
        <v>43211</v>
      </c>
      <c r="G7" s="274">
        <f t="shared" si="1"/>
        <v>45285</v>
      </c>
      <c r="H7" s="274">
        <f t="shared" si="1"/>
        <v>46207.92</v>
      </c>
      <c r="I7" s="274">
        <f t="shared" si="1"/>
        <v>46897.16</v>
      </c>
      <c r="J7" s="274">
        <f t="shared" si="1"/>
        <v>48268.81</v>
      </c>
      <c r="K7" s="274">
        <f t="shared" si="1"/>
        <v>49364.29</v>
      </c>
      <c r="L7" s="274">
        <f t="shared" si="1"/>
        <v>50728.490000000005</v>
      </c>
      <c r="M7" s="274">
        <f t="shared" si="1"/>
        <v>52631.049999999996</v>
      </c>
      <c r="N7" s="274">
        <f t="shared" si="1"/>
        <v>54282.74</v>
      </c>
      <c r="O7" s="274">
        <f t="shared" si="1"/>
        <v>55110.99</v>
      </c>
      <c r="P7" s="274">
        <f t="shared" si="1"/>
        <v>56829.39</v>
      </c>
      <c r="Q7" s="274">
        <f t="shared" si="1"/>
        <v>58122.09</v>
      </c>
      <c r="R7" s="274">
        <f t="shared" si="1"/>
        <v>59536.59</v>
      </c>
      <c r="S7" s="274">
        <f t="shared" si="1"/>
        <v>61235.684999999998</v>
      </c>
      <c r="T7" s="274">
        <f t="shared" si="1"/>
        <v>63106.695</v>
      </c>
      <c r="U7" s="274">
        <f t="shared" si="1"/>
        <v>64718.144999999997</v>
      </c>
      <c r="V7" s="274">
        <f t="shared" si="1"/>
        <v>66275.182000000001</v>
      </c>
      <c r="W7" s="274">
        <f t="shared" si="1"/>
        <v>67814.298999999999</v>
      </c>
      <c r="X7" s="274">
        <f t="shared" si="1"/>
        <v>69966.09</v>
      </c>
      <c r="Y7" s="274">
        <f t="shared" si="1"/>
        <v>71121.704999999987</v>
      </c>
      <c r="Z7" s="274">
        <f t="shared" si="1"/>
        <v>71804.107000000004</v>
      </c>
      <c r="AA7" s="274">
        <f t="shared" si="1"/>
        <v>73031.026999999987</v>
      </c>
      <c r="AB7" s="274">
        <f t="shared" si="1"/>
        <v>74154.726999999999</v>
      </c>
      <c r="AC7" s="274">
        <f t="shared" si="1"/>
        <v>74677.326000000001</v>
      </c>
      <c r="AD7" s="274">
        <f t="shared" si="1"/>
        <v>75656.837</v>
      </c>
      <c r="AE7" s="274">
        <f t="shared" si="1"/>
        <v>76650.700999999986</v>
      </c>
      <c r="AF7" s="274">
        <f t="shared" si="1"/>
        <v>77228.400000000009</v>
      </c>
      <c r="AG7" s="274">
        <f>SUM(AG8:AG35)</f>
        <v>77719.45199999999</v>
      </c>
      <c r="AH7" s="444">
        <f>SUM(AH8:AH35)</f>
        <v>77866.099999999991</v>
      </c>
      <c r="AI7" s="275" t="s">
        <v>94</v>
      </c>
    </row>
    <row r="8" spans="1:35" ht="12.75" customHeight="1" x14ac:dyDescent="0.2">
      <c r="B8" s="9" t="s">
        <v>37</v>
      </c>
      <c r="C8" s="203">
        <v>488</v>
      </c>
      <c r="D8" s="289">
        <v>1203</v>
      </c>
      <c r="E8" s="289">
        <v>1666</v>
      </c>
      <c r="F8" s="289">
        <v>1650</v>
      </c>
      <c r="G8" s="289">
        <v>1658</v>
      </c>
      <c r="H8" s="289">
        <v>1665</v>
      </c>
      <c r="I8" s="289">
        <v>1666</v>
      </c>
      <c r="J8" s="289">
        <v>1666</v>
      </c>
      <c r="K8" s="289">
        <v>1674</v>
      </c>
      <c r="L8" s="289">
        <v>1678.9</v>
      </c>
      <c r="M8" s="289">
        <v>1682.1</v>
      </c>
      <c r="N8" s="289">
        <v>1691.1</v>
      </c>
      <c r="O8" s="289">
        <v>1702.1</v>
      </c>
      <c r="P8" s="289">
        <v>1726.7</v>
      </c>
      <c r="Q8" s="289">
        <v>1729</v>
      </c>
      <c r="R8" s="289">
        <v>1729</v>
      </c>
      <c r="S8" s="289">
        <v>1747</v>
      </c>
      <c r="T8" s="373">
        <v>1747</v>
      </c>
      <c r="U8" s="289">
        <v>1763</v>
      </c>
      <c r="V8" s="289">
        <v>1763</v>
      </c>
      <c r="W8" s="289">
        <v>1763</v>
      </c>
      <c r="X8" s="289">
        <v>1763</v>
      </c>
      <c r="Y8" s="289">
        <v>1763</v>
      </c>
      <c r="Z8" s="161">
        <v>1763</v>
      </c>
      <c r="AA8" s="161">
        <v>1763</v>
      </c>
      <c r="AB8" s="161">
        <v>1763</v>
      </c>
      <c r="AC8" s="161">
        <v>1763</v>
      </c>
      <c r="AD8" s="161">
        <v>1763</v>
      </c>
      <c r="AE8" s="305">
        <v>1763</v>
      </c>
      <c r="AF8" s="305">
        <v>1763</v>
      </c>
      <c r="AG8" s="305">
        <v>1763</v>
      </c>
      <c r="AH8" s="254">
        <v>1763</v>
      </c>
      <c r="AI8" s="262" t="s">
        <v>37</v>
      </c>
    </row>
    <row r="9" spans="1:35" ht="12.75" customHeight="1" x14ac:dyDescent="0.2">
      <c r="B9" s="38" t="s">
        <v>20</v>
      </c>
      <c r="C9" s="201"/>
      <c r="D9" s="291"/>
      <c r="E9" s="291">
        <v>273</v>
      </c>
      <c r="F9" s="69">
        <v>273</v>
      </c>
      <c r="G9" s="69">
        <v>273</v>
      </c>
      <c r="H9" s="291">
        <v>276</v>
      </c>
      <c r="I9" s="291">
        <v>276</v>
      </c>
      <c r="J9" s="291">
        <v>277</v>
      </c>
      <c r="K9" s="291">
        <v>277</v>
      </c>
      <c r="L9" s="291">
        <v>314</v>
      </c>
      <c r="M9" s="291">
        <v>314</v>
      </c>
      <c r="N9" s="291">
        <v>314</v>
      </c>
      <c r="O9" s="291">
        <v>319</v>
      </c>
      <c r="P9" s="291">
        <v>324</v>
      </c>
      <c r="Q9" s="291">
        <v>324</v>
      </c>
      <c r="R9" s="291">
        <v>328</v>
      </c>
      <c r="S9" s="291">
        <v>331</v>
      </c>
      <c r="T9" s="134">
        <v>331</v>
      </c>
      <c r="U9" s="291">
        <v>394</v>
      </c>
      <c r="V9" s="291">
        <v>418</v>
      </c>
      <c r="W9" s="291">
        <v>418</v>
      </c>
      <c r="X9" s="291">
        <v>418</v>
      </c>
      <c r="Y9" s="291">
        <v>437</v>
      </c>
      <c r="Z9" s="291">
        <v>458</v>
      </c>
      <c r="AA9" s="291">
        <v>541</v>
      </c>
      <c r="AB9" s="291">
        <v>605</v>
      </c>
      <c r="AC9" s="291">
        <v>610</v>
      </c>
      <c r="AD9" s="291">
        <v>734</v>
      </c>
      <c r="AE9" s="291">
        <v>734</v>
      </c>
      <c r="AF9" s="291">
        <v>734</v>
      </c>
      <c r="AG9" s="291">
        <v>757</v>
      </c>
      <c r="AH9" s="196">
        <v>790</v>
      </c>
      <c r="AI9" s="261" t="s">
        <v>20</v>
      </c>
    </row>
    <row r="10" spans="1:35" ht="12.75" customHeight="1" x14ac:dyDescent="0.2">
      <c r="A10" s="285"/>
      <c r="B10" s="9" t="s">
        <v>22</v>
      </c>
      <c r="C10" s="206"/>
      <c r="D10" s="290"/>
      <c r="E10" s="289">
        <v>357</v>
      </c>
      <c r="F10" s="289">
        <v>362</v>
      </c>
      <c r="G10" s="289">
        <v>366</v>
      </c>
      <c r="H10" s="289">
        <v>390</v>
      </c>
      <c r="I10" s="289">
        <v>392</v>
      </c>
      <c r="J10" s="289">
        <v>414</v>
      </c>
      <c r="K10" s="289">
        <v>423</v>
      </c>
      <c r="L10" s="289">
        <v>486</v>
      </c>
      <c r="M10" s="289">
        <v>499</v>
      </c>
      <c r="N10" s="289">
        <v>499</v>
      </c>
      <c r="O10" s="289">
        <v>501</v>
      </c>
      <c r="P10" s="289">
        <v>517</v>
      </c>
      <c r="Q10" s="289">
        <v>518</v>
      </c>
      <c r="R10" s="289">
        <v>518</v>
      </c>
      <c r="S10" s="289">
        <v>546</v>
      </c>
      <c r="T10" s="373">
        <v>564</v>
      </c>
      <c r="U10" s="289">
        <v>633</v>
      </c>
      <c r="V10" s="289">
        <v>657</v>
      </c>
      <c r="W10" s="289">
        <v>691</v>
      </c>
      <c r="X10" s="289">
        <v>729</v>
      </c>
      <c r="Y10" s="289">
        <v>734</v>
      </c>
      <c r="Z10" s="289">
        <v>745</v>
      </c>
      <c r="AA10" s="289">
        <v>751</v>
      </c>
      <c r="AB10" s="289">
        <v>775.8</v>
      </c>
      <c r="AC10" s="289">
        <v>776</v>
      </c>
      <c r="AD10" s="289">
        <v>776</v>
      </c>
      <c r="AE10" s="257">
        <v>1222.7</v>
      </c>
      <c r="AF10" s="289">
        <v>1240</v>
      </c>
      <c r="AG10" s="289">
        <v>1252</v>
      </c>
      <c r="AH10" s="251">
        <v>1276</v>
      </c>
      <c r="AI10" s="262" t="s">
        <v>22</v>
      </c>
    </row>
    <row r="11" spans="1:35" ht="12.75" customHeight="1" x14ac:dyDescent="0.2">
      <c r="A11" s="285"/>
      <c r="B11" s="38" t="s">
        <v>33</v>
      </c>
      <c r="C11" s="201">
        <v>184</v>
      </c>
      <c r="D11" s="291">
        <v>516</v>
      </c>
      <c r="E11" s="291">
        <v>611</v>
      </c>
      <c r="F11" s="291">
        <v>663</v>
      </c>
      <c r="G11" s="291">
        <v>663</v>
      </c>
      <c r="H11" s="291">
        <v>706</v>
      </c>
      <c r="I11" s="291">
        <v>747</v>
      </c>
      <c r="J11" s="291">
        <v>796</v>
      </c>
      <c r="K11" s="291">
        <v>797</v>
      </c>
      <c r="L11" s="291">
        <v>834</v>
      </c>
      <c r="M11" s="291">
        <v>863</v>
      </c>
      <c r="N11" s="291">
        <v>902</v>
      </c>
      <c r="O11" s="291">
        <v>923</v>
      </c>
      <c r="P11" s="291">
        <v>978</v>
      </c>
      <c r="Q11" s="291">
        <v>972</v>
      </c>
      <c r="R11" s="291">
        <v>1010</v>
      </c>
      <c r="S11" s="291">
        <v>1027</v>
      </c>
      <c r="T11" s="134">
        <v>1032</v>
      </c>
      <c r="U11" s="291">
        <v>1032</v>
      </c>
      <c r="V11" s="291">
        <v>1111</v>
      </c>
      <c r="W11" s="291">
        <v>1128</v>
      </c>
      <c r="X11" s="291">
        <v>1130</v>
      </c>
      <c r="Y11" s="291">
        <v>1130</v>
      </c>
      <c r="Z11" s="291">
        <v>1143</v>
      </c>
      <c r="AA11" s="291">
        <v>1195</v>
      </c>
      <c r="AB11" s="291">
        <v>1216</v>
      </c>
      <c r="AC11" s="291">
        <v>1232</v>
      </c>
      <c r="AD11" s="291">
        <v>1237</v>
      </c>
      <c r="AE11" s="291">
        <v>1255</v>
      </c>
      <c r="AF11" s="291">
        <v>1308</v>
      </c>
      <c r="AG11" s="291">
        <v>1329</v>
      </c>
      <c r="AH11" s="196">
        <v>1346</v>
      </c>
      <c r="AI11" s="261" t="s">
        <v>33</v>
      </c>
    </row>
    <row r="12" spans="1:35" ht="12.75" customHeight="1" x14ac:dyDescent="0.2">
      <c r="A12" s="285"/>
      <c r="B12" s="9" t="s">
        <v>38</v>
      </c>
      <c r="C12" s="203">
        <v>6061</v>
      </c>
      <c r="D12" s="289">
        <v>9225</v>
      </c>
      <c r="E12" s="289">
        <v>10854</v>
      </c>
      <c r="F12" s="289">
        <v>10955</v>
      </c>
      <c r="G12" s="289">
        <v>11013</v>
      </c>
      <c r="H12" s="289">
        <v>11080</v>
      </c>
      <c r="I12" s="289">
        <v>11143</v>
      </c>
      <c r="J12" s="289">
        <v>11190</v>
      </c>
      <c r="K12" s="289">
        <v>11246</v>
      </c>
      <c r="L12" s="289">
        <v>11309</v>
      </c>
      <c r="M12" s="289">
        <v>11427</v>
      </c>
      <c r="N12" s="289">
        <v>11515</v>
      </c>
      <c r="O12" s="289">
        <v>11712</v>
      </c>
      <c r="P12" s="289">
        <v>11786</v>
      </c>
      <c r="Q12" s="289">
        <v>12037</v>
      </c>
      <c r="R12" s="289">
        <v>12044</v>
      </c>
      <c r="S12" s="289">
        <v>12174</v>
      </c>
      <c r="T12" s="373">
        <v>12363</v>
      </c>
      <c r="U12" s="289">
        <v>12531</v>
      </c>
      <c r="V12" s="289">
        <v>12594</v>
      </c>
      <c r="W12" s="289">
        <v>12645</v>
      </c>
      <c r="X12" s="289">
        <v>12813</v>
      </c>
      <c r="Y12" s="289">
        <v>12819</v>
      </c>
      <c r="Z12" s="289">
        <v>12845</v>
      </c>
      <c r="AA12" s="289">
        <v>12879</v>
      </c>
      <c r="AB12" s="289">
        <v>12917</v>
      </c>
      <c r="AC12" s="289">
        <v>12949</v>
      </c>
      <c r="AD12" s="289">
        <v>12993</v>
      </c>
      <c r="AE12" s="289">
        <v>12996</v>
      </c>
      <c r="AF12" s="289">
        <v>13009</v>
      </c>
      <c r="AG12" s="289">
        <v>13141</v>
      </c>
      <c r="AH12" s="251">
        <v>13183</v>
      </c>
      <c r="AI12" s="262" t="s">
        <v>38</v>
      </c>
    </row>
    <row r="13" spans="1:35" ht="12.75" customHeight="1" x14ac:dyDescent="0.2">
      <c r="A13" s="285"/>
      <c r="B13" s="38" t="s">
        <v>23</v>
      </c>
      <c r="C13" s="201"/>
      <c r="D13" s="291"/>
      <c r="E13" s="291">
        <v>41</v>
      </c>
      <c r="F13" s="291">
        <v>50</v>
      </c>
      <c r="G13" s="291">
        <v>60</v>
      </c>
      <c r="H13" s="291">
        <v>62</v>
      </c>
      <c r="I13" s="291">
        <v>64</v>
      </c>
      <c r="J13" s="291">
        <v>65</v>
      </c>
      <c r="K13" s="291">
        <v>65</v>
      </c>
      <c r="L13" s="291">
        <v>68</v>
      </c>
      <c r="M13" s="291">
        <v>74</v>
      </c>
      <c r="N13" s="291">
        <v>87</v>
      </c>
      <c r="O13" s="291">
        <v>93</v>
      </c>
      <c r="P13" s="291">
        <v>93</v>
      </c>
      <c r="Q13" s="291">
        <v>98</v>
      </c>
      <c r="R13" s="291">
        <v>98</v>
      </c>
      <c r="S13" s="291">
        <v>96</v>
      </c>
      <c r="T13" s="134">
        <v>99</v>
      </c>
      <c r="U13" s="291">
        <v>99</v>
      </c>
      <c r="V13" s="291">
        <v>96</v>
      </c>
      <c r="W13" s="291">
        <v>104</v>
      </c>
      <c r="X13" s="291">
        <v>100</v>
      </c>
      <c r="Y13" s="291">
        <v>115</v>
      </c>
      <c r="Z13" s="291">
        <v>115</v>
      </c>
      <c r="AA13" s="291">
        <v>124</v>
      </c>
      <c r="AB13" s="291">
        <v>140</v>
      </c>
      <c r="AC13" s="291">
        <v>141</v>
      </c>
      <c r="AD13" s="291">
        <v>147</v>
      </c>
      <c r="AE13" s="291">
        <v>145</v>
      </c>
      <c r="AF13" s="291">
        <v>154</v>
      </c>
      <c r="AG13" s="291">
        <v>154</v>
      </c>
      <c r="AH13" s="196">
        <v>161</v>
      </c>
      <c r="AI13" s="261" t="s">
        <v>23</v>
      </c>
    </row>
    <row r="14" spans="1:35" ht="12.75" customHeight="1" x14ac:dyDescent="0.2">
      <c r="A14" s="285"/>
      <c r="B14" s="9" t="s">
        <v>41</v>
      </c>
      <c r="C14" s="203">
        <v>0</v>
      </c>
      <c r="D14" s="289">
        <v>0</v>
      </c>
      <c r="E14" s="289">
        <v>26</v>
      </c>
      <c r="F14" s="289">
        <v>32</v>
      </c>
      <c r="G14" s="289">
        <v>32</v>
      </c>
      <c r="H14" s="289">
        <v>53</v>
      </c>
      <c r="I14" s="289">
        <v>72</v>
      </c>
      <c r="J14" s="289">
        <v>70</v>
      </c>
      <c r="K14" s="289">
        <v>80</v>
      </c>
      <c r="L14" s="289">
        <v>94</v>
      </c>
      <c r="M14" s="289">
        <v>103</v>
      </c>
      <c r="N14" s="289">
        <v>103</v>
      </c>
      <c r="O14" s="289">
        <v>103</v>
      </c>
      <c r="P14" s="289">
        <v>125</v>
      </c>
      <c r="Q14" s="289">
        <v>125</v>
      </c>
      <c r="R14" s="289">
        <v>176</v>
      </c>
      <c r="S14" s="289">
        <v>192</v>
      </c>
      <c r="T14" s="373">
        <v>247</v>
      </c>
      <c r="U14" s="289">
        <v>270</v>
      </c>
      <c r="V14" s="289">
        <v>269</v>
      </c>
      <c r="W14" s="289">
        <v>423</v>
      </c>
      <c r="X14" s="289">
        <v>663</v>
      </c>
      <c r="Y14" s="289">
        <v>900</v>
      </c>
      <c r="Z14" s="289">
        <v>900</v>
      </c>
      <c r="AA14" s="289">
        <v>900</v>
      </c>
      <c r="AB14" s="289">
        <v>897</v>
      </c>
      <c r="AC14" s="289">
        <v>897</v>
      </c>
      <c r="AD14" s="289">
        <v>916</v>
      </c>
      <c r="AE14" s="289">
        <v>916</v>
      </c>
      <c r="AF14" s="289">
        <v>916</v>
      </c>
      <c r="AG14" s="289">
        <v>916</v>
      </c>
      <c r="AH14" s="251">
        <v>995</v>
      </c>
      <c r="AI14" s="262" t="s">
        <v>41</v>
      </c>
    </row>
    <row r="15" spans="1:35" ht="12.75" customHeight="1" x14ac:dyDescent="0.2">
      <c r="A15" s="285"/>
      <c r="B15" s="38" t="s">
        <v>34</v>
      </c>
      <c r="C15" s="201">
        <v>11</v>
      </c>
      <c r="D15" s="291">
        <v>91</v>
      </c>
      <c r="E15" s="291">
        <v>190</v>
      </c>
      <c r="F15" s="291">
        <v>225</v>
      </c>
      <c r="G15" s="291">
        <v>280</v>
      </c>
      <c r="H15" s="291">
        <v>330</v>
      </c>
      <c r="I15" s="291">
        <v>380</v>
      </c>
      <c r="J15" s="69">
        <v>421</v>
      </c>
      <c r="K15" s="69">
        <v>467</v>
      </c>
      <c r="L15" s="69">
        <v>509</v>
      </c>
      <c r="M15" s="69">
        <v>526</v>
      </c>
      <c r="N15" s="69">
        <v>547</v>
      </c>
      <c r="O15" s="69">
        <v>615</v>
      </c>
      <c r="P15" s="69">
        <v>743</v>
      </c>
      <c r="Q15" s="69">
        <v>870</v>
      </c>
      <c r="R15" s="291">
        <v>916.5</v>
      </c>
      <c r="S15" s="291">
        <v>916.5</v>
      </c>
      <c r="T15" s="134">
        <v>916.5</v>
      </c>
      <c r="U15" s="291">
        <v>916.5</v>
      </c>
      <c r="V15" s="291">
        <v>916.5</v>
      </c>
      <c r="W15" s="291">
        <v>916.5</v>
      </c>
      <c r="X15" s="291">
        <v>1558.2</v>
      </c>
      <c r="Y15" s="291">
        <v>1558.2</v>
      </c>
      <c r="Z15" s="291">
        <v>1558.2</v>
      </c>
      <c r="AA15" s="291">
        <v>1558.2</v>
      </c>
      <c r="AB15" s="291">
        <v>1558.2</v>
      </c>
      <c r="AC15" s="291">
        <v>1558.2</v>
      </c>
      <c r="AD15" s="291">
        <v>1589.4</v>
      </c>
      <c r="AE15" s="291">
        <v>1842.8</v>
      </c>
      <c r="AF15" s="291">
        <v>2133.1999999999998</v>
      </c>
      <c r="AG15" s="291">
        <v>2098</v>
      </c>
      <c r="AH15" s="415">
        <f>AG15</f>
        <v>2098</v>
      </c>
      <c r="AI15" s="261" t="s">
        <v>34</v>
      </c>
    </row>
    <row r="16" spans="1:35" ht="12.75" customHeight="1" x14ac:dyDescent="0.2">
      <c r="A16" s="285"/>
      <c r="B16" s="9" t="s">
        <v>39</v>
      </c>
      <c r="C16" s="203">
        <v>387</v>
      </c>
      <c r="D16" s="289">
        <v>2008</v>
      </c>
      <c r="E16" s="289">
        <v>4976</v>
      </c>
      <c r="F16" s="289">
        <v>5235</v>
      </c>
      <c r="G16" s="289">
        <v>6486</v>
      </c>
      <c r="H16" s="289">
        <v>6577</v>
      </c>
      <c r="I16" s="289">
        <v>6497</v>
      </c>
      <c r="J16" s="289">
        <v>6962</v>
      </c>
      <c r="K16" s="289">
        <v>7295</v>
      </c>
      <c r="L16" s="289">
        <v>7750</v>
      </c>
      <c r="M16" s="289">
        <v>8269</v>
      </c>
      <c r="N16" s="289">
        <v>8893</v>
      </c>
      <c r="O16" s="289">
        <v>9049</v>
      </c>
      <c r="P16" s="289">
        <v>9571</v>
      </c>
      <c r="Q16" s="289">
        <v>9739</v>
      </c>
      <c r="R16" s="289">
        <v>10296</v>
      </c>
      <c r="S16" s="289">
        <v>10747</v>
      </c>
      <c r="T16" s="373">
        <v>11432</v>
      </c>
      <c r="U16" s="289">
        <v>12073</v>
      </c>
      <c r="V16" s="289">
        <v>13013</v>
      </c>
      <c r="W16" s="289">
        <v>13518</v>
      </c>
      <c r="X16" s="289">
        <v>14021</v>
      </c>
      <c r="Y16" s="289">
        <v>14262</v>
      </c>
      <c r="Z16" s="289">
        <v>14554</v>
      </c>
      <c r="AA16" s="289">
        <v>14701</v>
      </c>
      <c r="AB16" s="289">
        <f>3026+11955</f>
        <v>14981</v>
      </c>
      <c r="AC16" s="289">
        <f>3020+12029</f>
        <v>15049</v>
      </c>
      <c r="AD16" s="289">
        <f>3040+12296</f>
        <v>15336</v>
      </c>
      <c r="AE16" s="289">
        <f>3039+12405</f>
        <v>15444</v>
      </c>
      <c r="AF16" s="289">
        <v>15523</v>
      </c>
      <c r="AG16" s="289">
        <v>15585</v>
      </c>
      <c r="AH16" s="254">
        <f>AG16</f>
        <v>15585</v>
      </c>
      <c r="AI16" s="262" t="s">
        <v>39</v>
      </c>
    </row>
    <row r="17" spans="1:35" ht="12.75" customHeight="1" x14ac:dyDescent="0.2">
      <c r="A17" s="285"/>
      <c r="B17" s="38" t="s">
        <v>40</v>
      </c>
      <c r="C17" s="201">
        <v>1553</v>
      </c>
      <c r="D17" s="291">
        <v>4862</v>
      </c>
      <c r="E17" s="291">
        <v>6824</v>
      </c>
      <c r="F17" s="291">
        <v>7080</v>
      </c>
      <c r="G17" s="291">
        <v>7408</v>
      </c>
      <c r="H17" s="291">
        <v>7614</v>
      </c>
      <c r="I17" s="291">
        <v>7956</v>
      </c>
      <c r="J17" s="291">
        <v>8275</v>
      </c>
      <c r="K17" s="291">
        <v>8596</v>
      </c>
      <c r="L17" s="291">
        <v>8864</v>
      </c>
      <c r="M17" s="291">
        <v>9303</v>
      </c>
      <c r="N17" s="291">
        <v>9626</v>
      </c>
      <c r="O17" s="291">
        <v>9766</v>
      </c>
      <c r="P17" s="291">
        <v>10068</v>
      </c>
      <c r="Q17" s="291">
        <v>10223</v>
      </c>
      <c r="R17" s="291">
        <v>10379</v>
      </c>
      <c r="S17" s="291">
        <v>10486</v>
      </c>
      <c r="T17" s="134">
        <v>10798</v>
      </c>
      <c r="U17" s="291">
        <v>10848</v>
      </c>
      <c r="V17" s="291">
        <v>10958</v>
      </c>
      <c r="W17" s="291">
        <v>11042</v>
      </c>
      <c r="X17" s="291">
        <v>11163</v>
      </c>
      <c r="Y17" s="291">
        <v>11392</v>
      </c>
      <c r="Z17" s="291">
        <v>11413</v>
      </c>
      <c r="AA17" s="291">
        <v>11413</v>
      </c>
      <c r="AB17" s="291">
        <v>11552</v>
      </c>
      <c r="AC17" s="291">
        <v>11560</v>
      </c>
      <c r="AD17" s="291">
        <v>11599</v>
      </c>
      <c r="AE17" s="291">
        <v>11612</v>
      </c>
      <c r="AF17" s="291">
        <v>11618</v>
      </c>
      <c r="AG17" s="291">
        <v>11671</v>
      </c>
      <c r="AH17" s="196">
        <v>11671</v>
      </c>
      <c r="AI17" s="261" t="s">
        <v>40</v>
      </c>
    </row>
    <row r="18" spans="1:35" ht="12.75" customHeight="1" x14ac:dyDescent="0.2">
      <c r="A18" s="285"/>
      <c r="B18" s="9" t="s">
        <v>51</v>
      </c>
      <c r="C18" s="203"/>
      <c r="D18" s="289"/>
      <c r="E18" s="289">
        <v>291</v>
      </c>
      <c r="F18" s="289">
        <v>302</v>
      </c>
      <c r="G18" s="289">
        <v>292</v>
      </c>
      <c r="H18" s="289">
        <v>302</v>
      </c>
      <c r="I18" s="289">
        <v>302</v>
      </c>
      <c r="J18" s="289">
        <v>302</v>
      </c>
      <c r="K18" s="289">
        <v>318</v>
      </c>
      <c r="L18" s="289">
        <v>330</v>
      </c>
      <c r="M18" s="289">
        <v>330</v>
      </c>
      <c r="N18" s="289">
        <v>382</v>
      </c>
      <c r="O18" s="289">
        <v>411</v>
      </c>
      <c r="P18" s="289">
        <v>429</v>
      </c>
      <c r="Q18" s="289">
        <v>613</v>
      </c>
      <c r="R18" s="289">
        <v>754</v>
      </c>
      <c r="S18" s="289">
        <v>925</v>
      </c>
      <c r="T18" s="373">
        <v>1016</v>
      </c>
      <c r="U18" s="289">
        <v>1081</v>
      </c>
      <c r="V18" s="289">
        <v>1156</v>
      </c>
      <c r="W18" s="289">
        <v>1199</v>
      </c>
      <c r="X18" s="289">
        <v>1244</v>
      </c>
      <c r="Y18" s="289">
        <v>1244</v>
      </c>
      <c r="Z18" s="289">
        <v>1254</v>
      </c>
      <c r="AA18" s="289">
        <v>1254</v>
      </c>
      <c r="AB18" s="289">
        <v>1289</v>
      </c>
      <c r="AC18" s="289">
        <v>1290</v>
      </c>
      <c r="AD18" s="289">
        <v>1310</v>
      </c>
      <c r="AE18" s="289">
        <v>1310</v>
      </c>
      <c r="AF18" s="289">
        <v>1310</v>
      </c>
      <c r="AG18" s="289">
        <v>1310</v>
      </c>
      <c r="AH18" s="251">
        <v>1310</v>
      </c>
      <c r="AI18" s="262" t="s">
        <v>51</v>
      </c>
    </row>
    <row r="19" spans="1:35" ht="12.75" customHeight="1" x14ac:dyDescent="0.2">
      <c r="A19" s="285"/>
      <c r="B19" s="155" t="s">
        <v>42</v>
      </c>
      <c r="C19" s="205">
        <v>3913</v>
      </c>
      <c r="D19" s="295">
        <v>5900</v>
      </c>
      <c r="E19" s="295">
        <v>6193</v>
      </c>
      <c r="F19" s="295">
        <v>6301</v>
      </c>
      <c r="G19" s="295">
        <v>6289</v>
      </c>
      <c r="H19" s="295">
        <v>6401</v>
      </c>
      <c r="I19" s="295">
        <v>6375</v>
      </c>
      <c r="J19" s="295">
        <v>6435</v>
      </c>
      <c r="K19" s="295">
        <v>6465</v>
      </c>
      <c r="L19" s="295">
        <v>6469</v>
      </c>
      <c r="M19" s="295">
        <v>6478</v>
      </c>
      <c r="N19" s="295">
        <v>6478</v>
      </c>
      <c r="O19" s="295">
        <v>6478</v>
      </c>
      <c r="P19" s="295">
        <v>6487</v>
      </c>
      <c r="Q19" s="295">
        <v>6487</v>
      </c>
      <c r="R19" s="295">
        <v>6487</v>
      </c>
      <c r="S19" s="295">
        <v>6532</v>
      </c>
      <c r="T19" s="374">
        <v>6542</v>
      </c>
      <c r="U19" s="295">
        <v>6554</v>
      </c>
      <c r="V19" s="295">
        <v>6588</v>
      </c>
      <c r="W19" s="295">
        <v>6629</v>
      </c>
      <c r="X19" s="295">
        <v>6661</v>
      </c>
      <c r="Y19" s="295">
        <v>6668</v>
      </c>
      <c r="Z19" s="295">
        <v>6668</v>
      </c>
      <c r="AA19" s="295">
        <v>6726</v>
      </c>
      <c r="AB19" s="295">
        <v>6751</v>
      </c>
      <c r="AC19" s="295">
        <v>6844</v>
      </c>
      <c r="AD19" s="295">
        <v>6943</v>
      </c>
      <c r="AE19" s="295">
        <f>6003.4+939.8</f>
        <v>6943.2</v>
      </c>
      <c r="AF19" s="295">
        <f>6003.4+939.8</f>
        <v>6943.2</v>
      </c>
      <c r="AG19" s="295">
        <v>6966</v>
      </c>
      <c r="AH19" s="322">
        <f>AG19</f>
        <v>6966</v>
      </c>
      <c r="AI19" s="261" t="s">
        <v>42</v>
      </c>
    </row>
    <row r="20" spans="1:35" ht="12.75" customHeight="1" x14ac:dyDescent="0.2">
      <c r="A20" s="285"/>
      <c r="B20" s="9" t="s">
        <v>21</v>
      </c>
      <c r="C20" s="203"/>
      <c r="D20" s="289"/>
      <c r="E20" s="289">
        <v>120</v>
      </c>
      <c r="F20" s="161">
        <v>120</v>
      </c>
      <c r="G20" s="161">
        <v>120</v>
      </c>
      <c r="H20" s="289">
        <v>154</v>
      </c>
      <c r="I20" s="289">
        <v>159</v>
      </c>
      <c r="J20" s="289">
        <v>167</v>
      </c>
      <c r="K20" s="289">
        <v>167</v>
      </c>
      <c r="L20" s="289">
        <v>194</v>
      </c>
      <c r="M20" s="289">
        <v>204</v>
      </c>
      <c r="N20" s="289">
        <v>216</v>
      </c>
      <c r="O20" s="289">
        <v>257</v>
      </c>
      <c r="P20" s="289">
        <v>257</v>
      </c>
      <c r="Q20" s="289">
        <v>268</v>
      </c>
      <c r="R20" s="289">
        <v>268</v>
      </c>
      <c r="S20" s="289">
        <v>268</v>
      </c>
      <c r="T20" s="375">
        <v>276</v>
      </c>
      <c r="U20" s="289">
        <v>257</v>
      </c>
      <c r="V20" s="289">
        <v>257</v>
      </c>
      <c r="W20" s="289">
        <v>257</v>
      </c>
      <c r="X20" s="289">
        <v>257</v>
      </c>
      <c r="Y20" s="289">
        <v>257</v>
      </c>
      <c r="Z20" s="289">
        <v>257</v>
      </c>
      <c r="AA20" s="289">
        <v>257</v>
      </c>
      <c r="AB20" s="289">
        <v>257</v>
      </c>
      <c r="AC20" s="289">
        <v>257</v>
      </c>
      <c r="AD20" s="289">
        <v>272</v>
      </c>
      <c r="AE20" s="289">
        <v>272</v>
      </c>
      <c r="AF20" s="289">
        <v>257</v>
      </c>
      <c r="AG20" s="289">
        <v>257</v>
      </c>
      <c r="AH20" s="251">
        <v>257</v>
      </c>
      <c r="AI20" s="262" t="s">
        <v>21</v>
      </c>
    </row>
    <row r="21" spans="1:35" ht="12.75" customHeight="1" x14ac:dyDescent="0.2">
      <c r="A21" s="285"/>
      <c r="B21" s="155" t="s">
        <v>25</v>
      </c>
      <c r="C21" s="205" t="s">
        <v>50</v>
      </c>
      <c r="D21" s="295" t="s">
        <v>50</v>
      </c>
      <c r="E21" s="295" t="s">
        <v>50</v>
      </c>
      <c r="F21" s="295" t="s">
        <v>50</v>
      </c>
      <c r="G21" s="295" t="s">
        <v>50</v>
      </c>
      <c r="H21" s="295" t="s">
        <v>50</v>
      </c>
      <c r="I21" s="295" t="s">
        <v>50</v>
      </c>
      <c r="J21" s="295" t="s">
        <v>50</v>
      </c>
      <c r="K21" s="295" t="s">
        <v>50</v>
      </c>
      <c r="L21" s="295" t="s">
        <v>50</v>
      </c>
      <c r="M21" s="295" t="s">
        <v>50</v>
      </c>
      <c r="N21" s="295" t="s">
        <v>50</v>
      </c>
      <c r="O21" s="295" t="s">
        <v>52</v>
      </c>
      <c r="P21" s="295" t="s">
        <v>50</v>
      </c>
      <c r="Q21" s="295" t="s">
        <v>50</v>
      </c>
      <c r="R21" s="295" t="s">
        <v>50</v>
      </c>
      <c r="S21" s="295" t="s">
        <v>50</v>
      </c>
      <c r="T21" s="374" t="s">
        <v>50</v>
      </c>
      <c r="U21" s="295" t="s">
        <v>50</v>
      </c>
      <c r="V21" s="295" t="s">
        <v>50</v>
      </c>
      <c r="W21" s="295" t="s">
        <v>50</v>
      </c>
      <c r="X21" s="295" t="s">
        <v>50</v>
      </c>
      <c r="Y21" s="295" t="s">
        <v>50</v>
      </c>
      <c r="Z21" s="295" t="s">
        <v>50</v>
      </c>
      <c r="AA21" s="295" t="s">
        <v>50</v>
      </c>
      <c r="AB21" s="295" t="s">
        <v>50</v>
      </c>
      <c r="AC21" s="295" t="s">
        <v>50</v>
      </c>
      <c r="AD21" s="295" t="s">
        <v>50</v>
      </c>
      <c r="AE21" s="295" t="s">
        <v>50</v>
      </c>
      <c r="AF21" s="291" t="s">
        <v>50</v>
      </c>
      <c r="AG21" s="291" t="s">
        <v>50</v>
      </c>
      <c r="AH21" s="353" t="s">
        <v>50</v>
      </c>
      <c r="AI21" s="263" t="s">
        <v>25</v>
      </c>
    </row>
    <row r="22" spans="1:35" ht="12.75" customHeight="1" x14ac:dyDescent="0.2">
      <c r="A22" s="285"/>
      <c r="B22" s="9" t="s">
        <v>26</v>
      </c>
      <c r="C22" s="203"/>
      <c r="D22" s="289"/>
      <c r="E22" s="289">
        <v>421</v>
      </c>
      <c r="F22" s="289">
        <v>376</v>
      </c>
      <c r="G22" s="289">
        <v>382</v>
      </c>
      <c r="H22" s="289">
        <v>394</v>
      </c>
      <c r="I22" s="289">
        <v>394</v>
      </c>
      <c r="J22" s="289">
        <v>394</v>
      </c>
      <c r="K22" s="289">
        <v>404</v>
      </c>
      <c r="L22" s="289">
        <v>410</v>
      </c>
      <c r="M22" s="289">
        <v>417</v>
      </c>
      <c r="N22" s="289">
        <v>417</v>
      </c>
      <c r="O22" s="289">
        <v>417</v>
      </c>
      <c r="P22" s="289">
        <v>417</v>
      </c>
      <c r="Q22" s="289">
        <v>417</v>
      </c>
      <c r="R22" s="289">
        <v>417</v>
      </c>
      <c r="S22" s="289">
        <v>417</v>
      </c>
      <c r="T22" s="375">
        <v>417</v>
      </c>
      <c r="U22" s="289">
        <v>309</v>
      </c>
      <c r="V22" s="289">
        <v>309</v>
      </c>
      <c r="W22" s="289">
        <v>309</v>
      </c>
      <c r="X22" s="289">
        <v>309</v>
      </c>
      <c r="Y22" s="289">
        <v>309</v>
      </c>
      <c r="Z22" s="289">
        <v>309</v>
      </c>
      <c r="AA22" s="289">
        <v>309</v>
      </c>
      <c r="AB22" s="289">
        <v>309</v>
      </c>
      <c r="AC22" s="289">
        <v>309</v>
      </c>
      <c r="AD22" s="289">
        <v>309</v>
      </c>
      <c r="AE22" s="289">
        <v>314</v>
      </c>
      <c r="AF22" s="289">
        <v>324</v>
      </c>
      <c r="AG22" s="289">
        <v>324</v>
      </c>
      <c r="AH22" s="251">
        <v>403</v>
      </c>
      <c r="AI22" s="262" t="s">
        <v>26</v>
      </c>
    </row>
    <row r="23" spans="1:35" ht="12.75" customHeight="1" x14ac:dyDescent="0.2">
      <c r="A23" s="285"/>
      <c r="B23" s="38" t="s">
        <v>43</v>
      </c>
      <c r="C23" s="201">
        <v>7</v>
      </c>
      <c r="D23" s="291">
        <v>44</v>
      </c>
      <c r="E23" s="291">
        <v>78</v>
      </c>
      <c r="F23" s="69">
        <v>78</v>
      </c>
      <c r="G23" s="69">
        <v>95</v>
      </c>
      <c r="H23" s="291">
        <v>100</v>
      </c>
      <c r="I23" s="291">
        <v>121</v>
      </c>
      <c r="J23" s="291">
        <v>123</v>
      </c>
      <c r="K23" s="291">
        <v>115</v>
      </c>
      <c r="L23" s="291">
        <v>118</v>
      </c>
      <c r="M23" s="291">
        <v>115</v>
      </c>
      <c r="N23" s="291">
        <v>115</v>
      </c>
      <c r="O23" s="291">
        <v>114</v>
      </c>
      <c r="P23" s="291">
        <v>126</v>
      </c>
      <c r="Q23" s="291">
        <v>147</v>
      </c>
      <c r="R23" s="291">
        <v>147</v>
      </c>
      <c r="S23" s="291">
        <v>147</v>
      </c>
      <c r="T23" s="134">
        <v>147</v>
      </c>
      <c r="U23" s="291">
        <v>147</v>
      </c>
      <c r="V23" s="291">
        <v>147</v>
      </c>
      <c r="W23" s="291">
        <v>147</v>
      </c>
      <c r="X23" s="291">
        <v>147</v>
      </c>
      <c r="Y23" s="291">
        <v>152</v>
      </c>
      <c r="Z23" s="291">
        <v>152</v>
      </c>
      <c r="AA23" s="291">
        <v>152</v>
      </c>
      <c r="AB23" s="291">
        <v>152</v>
      </c>
      <c r="AC23" s="291">
        <v>152</v>
      </c>
      <c r="AD23" s="291">
        <v>161</v>
      </c>
      <c r="AE23" s="291">
        <v>161</v>
      </c>
      <c r="AF23" s="291">
        <v>165</v>
      </c>
      <c r="AG23" s="291">
        <v>165</v>
      </c>
      <c r="AH23" s="196">
        <v>165</v>
      </c>
      <c r="AI23" s="261" t="s">
        <v>43</v>
      </c>
    </row>
    <row r="24" spans="1:35" ht="12.75" customHeight="1" x14ac:dyDescent="0.2">
      <c r="A24" s="285"/>
      <c r="B24" s="9" t="s">
        <v>24</v>
      </c>
      <c r="C24" s="206"/>
      <c r="D24" s="290"/>
      <c r="E24" s="289">
        <v>267</v>
      </c>
      <c r="F24" s="289">
        <v>269</v>
      </c>
      <c r="G24" s="289">
        <v>269</v>
      </c>
      <c r="H24" s="289">
        <v>269</v>
      </c>
      <c r="I24" s="289">
        <v>293</v>
      </c>
      <c r="J24" s="289">
        <v>335</v>
      </c>
      <c r="K24" s="289">
        <v>365</v>
      </c>
      <c r="L24" s="289">
        <v>382</v>
      </c>
      <c r="M24" s="289">
        <v>448</v>
      </c>
      <c r="N24" s="289">
        <v>448</v>
      </c>
      <c r="O24" s="289">
        <v>448</v>
      </c>
      <c r="P24" s="289">
        <v>448</v>
      </c>
      <c r="Q24" s="289">
        <v>542</v>
      </c>
      <c r="R24" s="289">
        <v>533</v>
      </c>
      <c r="S24" s="289">
        <v>761</v>
      </c>
      <c r="T24" s="373">
        <v>859</v>
      </c>
      <c r="U24" s="289">
        <v>1157</v>
      </c>
      <c r="V24" s="289">
        <v>1065</v>
      </c>
      <c r="W24" s="289">
        <v>1274</v>
      </c>
      <c r="X24" s="289">
        <v>1273</v>
      </c>
      <c r="Y24" s="289">
        <v>1477</v>
      </c>
      <c r="Z24" s="289">
        <v>1516</v>
      </c>
      <c r="AA24" s="289">
        <v>1515.1</v>
      </c>
      <c r="AB24" s="289">
        <v>1766.9</v>
      </c>
      <c r="AC24" s="289">
        <v>1781.8</v>
      </c>
      <c r="AD24" s="289">
        <v>1883.9</v>
      </c>
      <c r="AE24" s="289">
        <v>1924</v>
      </c>
      <c r="AF24" s="289">
        <v>1936.6</v>
      </c>
      <c r="AG24" s="289">
        <v>1982</v>
      </c>
      <c r="AH24" s="251">
        <v>1723.2</v>
      </c>
      <c r="AI24" s="262" t="s">
        <v>24</v>
      </c>
    </row>
    <row r="25" spans="1:35" ht="12.75" customHeight="1" x14ac:dyDescent="0.2">
      <c r="A25" s="285"/>
      <c r="B25" s="38" t="s">
        <v>27</v>
      </c>
      <c r="C25" s="201" t="s">
        <v>50</v>
      </c>
      <c r="D25" s="291" t="s">
        <v>50</v>
      </c>
      <c r="E25" s="291" t="s">
        <v>50</v>
      </c>
      <c r="F25" s="291" t="s">
        <v>50</v>
      </c>
      <c r="G25" s="291" t="s">
        <v>50</v>
      </c>
      <c r="H25" s="291" t="s">
        <v>50</v>
      </c>
      <c r="I25" s="291" t="s">
        <v>50</v>
      </c>
      <c r="J25" s="291" t="s">
        <v>50</v>
      </c>
      <c r="K25" s="291" t="s">
        <v>50</v>
      </c>
      <c r="L25" s="291" t="s">
        <v>50</v>
      </c>
      <c r="M25" s="291" t="s">
        <v>50</v>
      </c>
      <c r="N25" s="291" t="s">
        <v>50</v>
      </c>
      <c r="O25" s="291" t="s">
        <v>52</v>
      </c>
      <c r="P25" s="291" t="s">
        <v>50</v>
      </c>
      <c r="Q25" s="291" t="s">
        <v>50</v>
      </c>
      <c r="R25" s="291" t="s">
        <v>50</v>
      </c>
      <c r="S25" s="291" t="s">
        <v>50</v>
      </c>
      <c r="T25" s="134" t="s">
        <v>50</v>
      </c>
      <c r="U25" s="291" t="s">
        <v>50</v>
      </c>
      <c r="V25" s="291" t="s">
        <v>50</v>
      </c>
      <c r="W25" s="291" t="s">
        <v>50</v>
      </c>
      <c r="X25" s="291" t="s">
        <v>50</v>
      </c>
      <c r="Y25" s="291" t="s">
        <v>50</v>
      </c>
      <c r="Z25" s="291" t="s">
        <v>50</v>
      </c>
      <c r="AA25" s="291" t="s">
        <v>50</v>
      </c>
      <c r="AB25" s="291" t="s">
        <v>50</v>
      </c>
      <c r="AC25" s="291" t="s">
        <v>50</v>
      </c>
      <c r="AD25" s="291" t="s">
        <v>50</v>
      </c>
      <c r="AE25" s="291" t="s">
        <v>50</v>
      </c>
      <c r="AF25" s="291" t="s">
        <v>50</v>
      </c>
      <c r="AG25" s="291" t="s">
        <v>50</v>
      </c>
      <c r="AH25" s="196" t="s">
        <v>50</v>
      </c>
      <c r="AI25" s="261" t="s">
        <v>27</v>
      </c>
    </row>
    <row r="26" spans="1:35" ht="12.75" customHeight="1" x14ac:dyDescent="0.2">
      <c r="A26" s="285"/>
      <c r="B26" s="9" t="s">
        <v>35</v>
      </c>
      <c r="C26" s="203">
        <v>1209</v>
      </c>
      <c r="D26" s="289">
        <v>1798</v>
      </c>
      <c r="E26" s="289">
        <v>2092</v>
      </c>
      <c r="F26" s="289">
        <v>2092</v>
      </c>
      <c r="G26" s="289">
        <v>2134</v>
      </c>
      <c r="H26" s="289">
        <v>2167</v>
      </c>
      <c r="I26" s="289">
        <v>2208</v>
      </c>
      <c r="J26" s="289">
        <v>2208</v>
      </c>
      <c r="K26" s="289">
        <v>2208</v>
      </c>
      <c r="L26" s="289">
        <v>2225</v>
      </c>
      <c r="M26" s="289">
        <v>2225</v>
      </c>
      <c r="N26" s="289">
        <v>2291</v>
      </c>
      <c r="O26" s="289">
        <v>2265</v>
      </c>
      <c r="P26" s="289">
        <v>2499</v>
      </c>
      <c r="Q26" s="289">
        <v>2516</v>
      </c>
      <c r="R26" s="289">
        <v>2541</v>
      </c>
      <c r="S26" s="289">
        <v>2585</v>
      </c>
      <c r="T26" s="373">
        <v>2600</v>
      </c>
      <c r="U26" s="289">
        <v>2604</v>
      </c>
      <c r="V26" s="289">
        <v>2582</v>
      </c>
      <c r="W26" s="289">
        <v>2637</v>
      </c>
      <c r="X26" s="289">
        <v>2646</v>
      </c>
      <c r="Y26" s="289">
        <v>2651</v>
      </c>
      <c r="Z26" s="289">
        <v>2658</v>
      </c>
      <c r="AA26" s="289">
        <v>2666</v>
      </c>
      <c r="AB26" s="289">
        <v>2678</v>
      </c>
      <c r="AC26" s="289">
        <v>2730</v>
      </c>
      <c r="AD26" s="289">
        <v>2756</v>
      </c>
      <c r="AE26" s="289">
        <v>2758</v>
      </c>
      <c r="AF26" s="289">
        <v>2758</v>
      </c>
      <c r="AG26" s="289">
        <v>2756</v>
      </c>
      <c r="AH26" s="251">
        <v>2790</v>
      </c>
      <c r="AI26" s="262" t="s">
        <v>35</v>
      </c>
    </row>
    <row r="27" spans="1:35" ht="12.75" customHeight="1" x14ac:dyDescent="0.2">
      <c r="A27" s="285"/>
      <c r="B27" s="38" t="s">
        <v>44</v>
      </c>
      <c r="C27" s="201">
        <v>478</v>
      </c>
      <c r="D27" s="291">
        <v>938</v>
      </c>
      <c r="E27" s="291">
        <v>1445</v>
      </c>
      <c r="F27" s="291">
        <v>1450</v>
      </c>
      <c r="G27" s="291">
        <v>1554</v>
      </c>
      <c r="H27" s="291">
        <v>1557</v>
      </c>
      <c r="I27" s="291">
        <v>1559</v>
      </c>
      <c r="J27" s="291">
        <v>1596</v>
      </c>
      <c r="K27" s="291">
        <v>1607</v>
      </c>
      <c r="L27" s="291">
        <v>1613</v>
      </c>
      <c r="M27" s="291">
        <v>1613</v>
      </c>
      <c r="N27" s="291">
        <v>1634</v>
      </c>
      <c r="O27" s="291">
        <v>1633</v>
      </c>
      <c r="P27" s="291">
        <v>1645</v>
      </c>
      <c r="Q27" s="291">
        <v>1645</v>
      </c>
      <c r="R27" s="291">
        <v>1670</v>
      </c>
      <c r="S27" s="291">
        <v>1677</v>
      </c>
      <c r="T27" s="134">
        <v>1677</v>
      </c>
      <c r="U27" s="291">
        <v>1678</v>
      </c>
      <c r="V27" s="291">
        <v>1696</v>
      </c>
      <c r="W27" s="291">
        <v>1696</v>
      </c>
      <c r="X27" s="291">
        <v>1696</v>
      </c>
      <c r="Y27" s="291">
        <v>1719</v>
      </c>
      <c r="Z27" s="291">
        <v>1719</v>
      </c>
      <c r="AA27" s="291">
        <v>1719</v>
      </c>
      <c r="AB27" s="291">
        <v>1719</v>
      </c>
      <c r="AC27" s="291">
        <v>1719</v>
      </c>
      <c r="AD27" s="291">
        <v>1719</v>
      </c>
      <c r="AE27" s="291">
        <v>1743.4639999999999</v>
      </c>
      <c r="AF27" s="291">
        <v>1743</v>
      </c>
      <c r="AG27" s="291">
        <v>1748.5519999999999</v>
      </c>
      <c r="AH27" s="196">
        <v>1743</v>
      </c>
      <c r="AI27" s="261" t="s">
        <v>44</v>
      </c>
    </row>
    <row r="28" spans="1:35" ht="12.75" customHeight="1" x14ac:dyDescent="0.2">
      <c r="A28" s="285"/>
      <c r="B28" s="9" t="s">
        <v>28</v>
      </c>
      <c r="C28" s="203"/>
      <c r="D28" s="289"/>
      <c r="E28" s="289">
        <v>257</v>
      </c>
      <c r="F28" s="289">
        <v>239</v>
      </c>
      <c r="G28" s="289">
        <v>257</v>
      </c>
      <c r="H28" s="289">
        <v>231</v>
      </c>
      <c r="I28" s="289">
        <v>245</v>
      </c>
      <c r="J28" s="289">
        <v>246</v>
      </c>
      <c r="K28" s="289">
        <v>258</v>
      </c>
      <c r="L28" s="289">
        <v>264</v>
      </c>
      <c r="M28" s="289">
        <v>268</v>
      </c>
      <c r="N28" s="289">
        <v>317</v>
      </c>
      <c r="O28" s="289">
        <v>358</v>
      </c>
      <c r="P28" s="289">
        <v>398</v>
      </c>
      <c r="Q28" s="289">
        <v>405</v>
      </c>
      <c r="R28" s="289">
        <v>484</v>
      </c>
      <c r="S28" s="289">
        <v>552</v>
      </c>
      <c r="T28" s="373">
        <v>552</v>
      </c>
      <c r="U28" s="289">
        <v>582.5</v>
      </c>
      <c r="V28" s="289">
        <v>662.5</v>
      </c>
      <c r="W28" s="289">
        <v>765</v>
      </c>
      <c r="X28" s="289">
        <v>849</v>
      </c>
      <c r="Y28" s="289">
        <v>857</v>
      </c>
      <c r="Z28" s="289">
        <v>1070</v>
      </c>
      <c r="AA28" s="289">
        <v>1365</v>
      </c>
      <c r="AB28" s="289">
        <v>1482</v>
      </c>
      <c r="AC28" s="289">
        <v>1556</v>
      </c>
      <c r="AD28" s="289">
        <v>1559</v>
      </c>
      <c r="AE28" s="289">
        <v>1637</v>
      </c>
      <c r="AF28" s="289">
        <v>1637</v>
      </c>
      <c r="AG28" s="289">
        <v>1637</v>
      </c>
      <c r="AH28" s="251">
        <v>1676</v>
      </c>
      <c r="AI28" s="262" t="s">
        <v>28</v>
      </c>
    </row>
    <row r="29" spans="1:35" ht="12.75" customHeight="1" x14ac:dyDescent="0.2">
      <c r="A29" s="285"/>
      <c r="B29" s="38" t="s">
        <v>45</v>
      </c>
      <c r="C29" s="201">
        <v>66</v>
      </c>
      <c r="D29" s="291">
        <v>132</v>
      </c>
      <c r="E29" s="291">
        <v>316</v>
      </c>
      <c r="F29" s="291">
        <v>474</v>
      </c>
      <c r="G29" s="291">
        <v>520</v>
      </c>
      <c r="H29" s="291">
        <v>579</v>
      </c>
      <c r="I29" s="291">
        <v>587</v>
      </c>
      <c r="J29" s="69">
        <v>687</v>
      </c>
      <c r="K29" s="69">
        <v>710</v>
      </c>
      <c r="L29" s="69">
        <v>797</v>
      </c>
      <c r="M29" s="69">
        <v>1252</v>
      </c>
      <c r="N29" s="69">
        <v>1441</v>
      </c>
      <c r="O29" s="69">
        <v>1482</v>
      </c>
      <c r="P29" s="69">
        <v>1659</v>
      </c>
      <c r="Q29" s="69">
        <v>1836</v>
      </c>
      <c r="R29" s="69">
        <v>2002</v>
      </c>
      <c r="S29" s="69">
        <v>2091</v>
      </c>
      <c r="T29" s="114">
        <v>2341</v>
      </c>
      <c r="U29" s="69">
        <v>2545</v>
      </c>
      <c r="V29" s="69">
        <v>2613</v>
      </c>
      <c r="W29" s="69">
        <v>2623</v>
      </c>
      <c r="X29" s="291">
        <v>2705</v>
      </c>
      <c r="Y29" s="291">
        <v>2737</v>
      </c>
      <c r="Z29" s="291">
        <v>2737</v>
      </c>
      <c r="AA29" s="291">
        <v>2988</v>
      </c>
      <c r="AB29" s="291">
        <v>3065</v>
      </c>
      <c r="AC29" s="291">
        <v>3065</v>
      </c>
      <c r="AD29" s="291">
        <v>3065</v>
      </c>
      <c r="AE29" s="291">
        <v>3065</v>
      </c>
      <c r="AF29" s="291">
        <v>3065</v>
      </c>
      <c r="AG29" s="291">
        <v>3065</v>
      </c>
      <c r="AH29" s="196">
        <v>3065</v>
      </c>
      <c r="AI29" s="261" t="s">
        <v>45</v>
      </c>
    </row>
    <row r="30" spans="1:35" ht="12.75" customHeight="1" x14ac:dyDescent="0.2">
      <c r="A30" s="285"/>
      <c r="B30" s="9" t="s">
        <v>29</v>
      </c>
      <c r="C30" s="203"/>
      <c r="D30" s="289"/>
      <c r="E30" s="289">
        <v>113</v>
      </c>
      <c r="F30" s="289">
        <v>113</v>
      </c>
      <c r="G30" s="289">
        <v>113</v>
      </c>
      <c r="H30" s="289">
        <v>113</v>
      </c>
      <c r="I30" s="289">
        <v>113</v>
      </c>
      <c r="J30" s="289">
        <v>113</v>
      </c>
      <c r="K30" s="289">
        <v>113</v>
      </c>
      <c r="L30" s="289">
        <v>113</v>
      </c>
      <c r="M30" s="289">
        <v>113</v>
      </c>
      <c r="N30" s="289">
        <v>113</v>
      </c>
      <c r="O30" s="289">
        <v>113</v>
      </c>
      <c r="P30" s="289">
        <v>113</v>
      </c>
      <c r="Q30" s="289">
        <v>113</v>
      </c>
      <c r="R30" s="289">
        <v>113</v>
      </c>
      <c r="S30" s="289">
        <v>228</v>
      </c>
      <c r="T30" s="373">
        <v>228</v>
      </c>
      <c r="U30" s="289">
        <v>228</v>
      </c>
      <c r="V30" s="289">
        <v>281</v>
      </c>
      <c r="W30" s="289">
        <v>281</v>
      </c>
      <c r="X30" s="289">
        <v>321</v>
      </c>
      <c r="Y30" s="289">
        <v>332</v>
      </c>
      <c r="Z30" s="289">
        <v>350</v>
      </c>
      <c r="AA30" s="289">
        <v>550</v>
      </c>
      <c r="AB30" s="289">
        <v>644</v>
      </c>
      <c r="AC30" s="289">
        <v>683</v>
      </c>
      <c r="AD30" s="289">
        <v>747</v>
      </c>
      <c r="AE30" s="289">
        <v>747</v>
      </c>
      <c r="AF30" s="289">
        <v>763</v>
      </c>
      <c r="AG30" s="289">
        <v>823</v>
      </c>
      <c r="AH30" s="251">
        <v>866</v>
      </c>
      <c r="AI30" s="262" t="s">
        <v>29</v>
      </c>
    </row>
    <row r="31" spans="1:35" ht="12.75" customHeight="1" x14ac:dyDescent="0.2">
      <c r="A31" s="285"/>
      <c r="B31" s="38" t="s">
        <v>31</v>
      </c>
      <c r="C31" s="201"/>
      <c r="D31" s="291"/>
      <c r="E31" s="291">
        <v>228</v>
      </c>
      <c r="F31" s="69">
        <v>246</v>
      </c>
      <c r="G31" s="69">
        <v>254</v>
      </c>
      <c r="H31" s="291">
        <v>268</v>
      </c>
      <c r="I31" s="291">
        <v>277</v>
      </c>
      <c r="J31" s="291">
        <v>293</v>
      </c>
      <c r="K31" s="291">
        <v>310</v>
      </c>
      <c r="L31" s="291">
        <v>330</v>
      </c>
      <c r="M31" s="291">
        <v>369</v>
      </c>
      <c r="N31" s="291">
        <v>399</v>
      </c>
      <c r="O31" s="291">
        <v>427</v>
      </c>
      <c r="P31" s="291">
        <v>435</v>
      </c>
      <c r="Q31" s="291">
        <v>457</v>
      </c>
      <c r="R31" s="291">
        <v>477</v>
      </c>
      <c r="S31" s="291">
        <v>483</v>
      </c>
      <c r="T31" s="134">
        <v>569</v>
      </c>
      <c r="U31" s="291">
        <v>579</v>
      </c>
      <c r="V31" s="291">
        <v>579</v>
      </c>
      <c r="W31" s="291">
        <v>696</v>
      </c>
      <c r="X31" s="291">
        <v>747</v>
      </c>
      <c r="Y31" s="291">
        <v>771</v>
      </c>
      <c r="Z31" s="291">
        <v>768</v>
      </c>
      <c r="AA31" s="376">
        <v>769</v>
      </c>
      <c r="AB31" s="291">
        <v>607</v>
      </c>
      <c r="AC31" s="291">
        <v>607</v>
      </c>
      <c r="AD31" s="291">
        <v>610</v>
      </c>
      <c r="AE31" s="291">
        <v>610</v>
      </c>
      <c r="AF31" s="291">
        <v>618</v>
      </c>
      <c r="AG31" s="291">
        <v>623</v>
      </c>
      <c r="AH31" s="196">
        <v>623</v>
      </c>
      <c r="AI31" s="261" t="s">
        <v>31</v>
      </c>
    </row>
    <row r="32" spans="1:35" ht="14.25" customHeight="1" x14ac:dyDescent="0.2">
      <c r="A32" s="285"/>
      <c r="B32" s="9" t="s">
        <v>30</v>
      </c>
      <c r="C32" s="206"/>
      <c r="D32" s="290"/>
      <c r="E32" s="289">
        <v>192</v>
      </c>
      <c r="F32" s="289">
        <v>198</v>
      </c>
      <c r="G32" s="289">
        <v>198</v>
      </c>
      <c r="H32" s="289">
        <v>198</v>
      </c>
      <c r="I32" s="289">
        <v>198</v>
      </c>
      <c r="J32" s="289">
        <v>198</v>
      </c>
      <c r="K32" s="289">
        <v>215</v>
      </c>
      <c r="L32" s="289">
        <v>219</v>
      </c>
      <c r="M32" s="289">
        <v>292</v>
      </c>
      <c r="N32" s="289">
        <v>295</v>
      </c>
      <c r="O32" s="289">
        <v>296</v>
      </c>
      <c r="P32" s="289">
        <v>296</v>
      </c>
      <c r="Q32" s="289">
        <v>302</v>
      </c>
      <c r="R32" s="289">
        <v>313</v>
      </c>
      <c r="S32" s="289">
        <v>316.19499999999999</v>
      </c>
      <c r="T32" s="373">
        <v>327.505</v>
      </c>
      <c r="U32" s="289">
        <v>327.505</v>
      </c>
      <c r="V32" s="289">
        <v>364.54199999999997</v>
      </c>
      <c r="W32" s="289">
        <v>383.98899999999998</v>
      </c>
      <c r="X32" s="289">
        <v>390.98</v>
      </c>
      <c r="Y32" s="289">
        <v>415.69499999999999</v>
      </c>
      <c r="Z32" s="289">
        <v>419.20699999999999</v>
      </c>
      <c r="AA32" s="289">
        <v>419.20699999999999</v>
      </c>
      <c r="AB32" s="289">
        <v>419.80700000000002</v>
      </c>
      <c r="AC32" s="289">
        <v>419.70600000000002</v>
      </c>
      <c r="AD32" s="289">
        <v>463.10700000000003</v>
      </c>
      <c r="AE32" s="289">
        <v>463.20699999999999</v>
      </c>
      <c r="AF32" s="289">
        <v>482.3</v>
      </c>
      <c r="AG32" s="289">
        <v>482</v>
      </c>
      <c r="AH32" s="251">
        <v>495</v>
      </c>
      <c r="AI32" s="262" t="s">
        <v>30</v>
      </c>
    </row>
    <row r="33" spans="1:35" ht="12.75" customHeight="1" x14ac:dyDescent="0.2">
      <c r="A33" s="285"/>
      <c r="B33" s="38" t="s">
        <v>46</v>
      </c>
      <c r="C33" s="201">
        <v>108</v>
      </c>
      <c r="D33" s="291">
        <v>204</v>
      </c>
      <c r="E33" s="291">
        <v>225</v>
      </c>
      <c r="F33" s="291">
        <v>249</v>
      </c>
      <c r="G33" s="291">
        <v>318</v>
      </c>
      <c r="H33" s="291">
        <v>337</v>
      </c>
      <c r="I33" s="291">
        <v>388</v>
      </c>
      <c r="J33" s="291">
        <v>394</v>
      </c>
      <c r="K33" s="291">
        <v>431</v>
      </c>
      <c r="L33" s="291">
        <v>444</v>
      </c>
      <c r="M33" s="291">
        <v>473</v>
      </c>
      <c r="N33" s="291">
        <v>512</v>
      </c>
      <c r="O33" s="291">
        <v>549</v>
      </c>
      <c r="P33" s="291">
        <v>591</v>
      </c>
      <c r="Q33" s="291">
        <v>603</v>
      </c>
      <c r="R33" s="291">
        <v>653</v>
      </c>
      <c r="S33" s="291">
        <v>653</v>
      </c>
      <c r="T33" s="134">
        <v>693</v>
      </c>
      <c r="U33" s="291">
        <v>700</v>
      </c>
      <c r="V33" s="291">
        <v>700</v>
      </c>
      <c r="W33" s="291">
        <v>739</v>
      </c>
      <c r="X33" s="291">
        <v>765</v>
      </c>
      <c r="Y33" s="291">
        <v>779</v>
      </c>
      <c r="Z33" s="291">
        <v>790</v>
      </c>
      <c r="AA33" s="291">
        <v>780</v>
      </c>
      <c r="AB33" s="291">
        <v>810</v>
      </c>
      <c r="AC33" s="291">
        <v>881</v>
      </c>
      <c r="AD33" s="291">
        <v>881</v>
      </c>
      <c r="AE33" s="291">
        <v>890</v>
      </c>
      <c r="AF33" s="291">
        <v>893</v>
      </c>
      <c r="AG33" s="291">
        <v>926</v>
      </c>
      <c r="AH33" s="196">
        <v>926</v>
      </c>
      <c r="AI33" s="261" t="s">
        <v>46</v>
      </c>
    </row>
    <row r="34" spans="1:35" ht="12.75" customHeight="1" x14ac:dyDescent="0.2">
      <c r="A34" s="285"/>
      <c r="B34" s="9" t="s">
        <v>47</v>
      </c>
      <c r="C34" s="203">
        <v>403</v>
      </c>
      <c r="D34" s="289">
        <v>850</v>
      </c>
      <c r="E34" s="289">
        <v>939</v>
      </c>
      <c r="F34" s="289">
        <v>968</v>
      </c>
      <c r="G34" s="289">
        <v>1005</v>
      </c>
      <c r="H34" s="289">
        <v>1061</v>
      </c>
      <c r="I34" s="289">
        <v>1125</v>
      </c>
      <c r="J34" s="289">
        <v>1262</v>
      </c>
      <c r="K34" s="289">
        <v>1350</v>
      </c>
      <c r="L34" s="289">
        <v>1423</v>
      </c>
      <c r="M34" s="289">
        <v>1439</v>
      </c>
      <c r="N34" s="289">
        <v>1484</v>
      </c>
      <c r="O34" s="289">
        <v>1499</v>
      </c>
      <c r="P34" s="289">
        <v>1507</v>
      </c>
      <c r="Q34" s="289">
        <v>1544</v>
      </c>
      <c r="R34" s="289">
        <v>1591</v>
      </c>
      <c r="S34" s="289">
        <v>1700</v>
      </c>
      <c r="T34" s="289">
        <v>1700</v>
      </c>
      <c r="U34" s="289">
        <v>1740</v>
      </c>
      <c r="V34" s="289">
        <v>1806</v>
      </c>
      <c r="W34" s="289">
        <v>1857</v>
      </c>
      <c r="X34" s="289">
        <v>1923</v>
      </c>
      <c r="Y34" s="289">
        <v>1971</v>
      </c>
      <c r="Z34" s="289">
        <v>1957</v>
      </c>
      <c r="AA34" s="289">
        <v>2004</v>
      </c>
      <c r="AB34" s="289">
        <v>2044</v>
      </c>
      <c r="AC34" s="289">
        <v>2088</v>
      </c>
      <c r="AD34" s="289">
        <v>2119</v>
      </c>
      <c r="AE34" s="289">
        <v>2118</v>
      </c>
      <c r="AF34" s="289">
        <v>2132</v>
      </c>
      <c r="AG34" s="210">
        <v>2132</v>
      </c>
      <c r="AH34" s="359">
        <v>2133</v>
      </c>
      <c r="AI34" s="126" t="s">
        <v>47</v>
      </c>
    </row>
    <row r="35" spans="1:35" ht="12.75" customHeight="1" x14ac:dyDescent="0.2">
      <c r="A35" s="285"/>
      <c r="B35" s="313" t="s">
        <v>36</v>
      </c>
      <c r="C35" s="367">
        <v>1183</v>
      </c>
      <c r="D35" s="350">
        <v>2683</v>
      </c>
      <c r="E35" s="350">
        <v>3181</v>
      </c>
      <c r="F35" s="350">
        <v>3211</v>
      </c>
      <c r="G35" s="350">
        <v>3246</v>
      </c>
      <c r="H35" s="350">
        <v>3323.92</v>
      </c>
      <c r="I35" s="350">
        <v>3360.16</v>
      </c>
      <c r="J35" s="350">
        <v>3379.81</v>
      </c>
      <c r="K35" s="350">
        <v>3408.29</v>
      </c>
      <c r="L35" s="350">
        <v>3490.59</v>
      </c>
      <c r="M35" s="350">
        <v>3534.95</v>
      </c>
      <c r="N35" s="350">
        <v>3563.64</v>
      </c>
      <c r="O35" s="350">
        <v>3580.89</v>
      </c>
      <c r="P35" s="350">
        <v>3590.69</v>
      </c>
      <c r="Q35" s="350">
        <v>3592.09</v>
      </c>
      <c r="R35" s="350">
        <v>3592.09</v>
      </c>
      <c r="S35" s="350">
        <v>3637.99</v>
      </c>
      <c r="T35" s="350">
        <v>3632.69</v>
      </c>
      <c r="U35" s="350">
        <v>3669.64</v>
      </c>
      <c r="V35" s="350">
        <v>3673.64</v>
      </c>
      <c r="W35" s="350">
        <v>3672.81</v>
      </c>
      <c r="X35" s="350">
        <v>3673.91</v>
      </c>
      <c r="Y35" s="350">
        <v>3671.81</v>
      </c>
      <c r="Z35" s="350">
        <v>3685.7</v>
      </c>
      <c r="AA35" s="350">
        <v>3732.52</v>
      </c>
      <c r="AB35" s="350">
        <v>3756.02</v>
      </c>
      <c r="AC35" s="350">
        <v>3759.62</v>
      </c>
      <c r="AD35" s="350">
        <v>3768.43</v>
      </c>
      <c r="AE35" s="350">
        <v>3764.33</v>
      </c>
      <c r="AF35" s="350">
        <v>3803.1</v>
      </c>
      <c r="AG35" s="350">
        <f>3742+114.9</f>
        <v>3856.9</v>
      </c>
      <c r="AH35" s="351">
        <f>AG35</f>
        <v>3856.9</v>
      </c>
      <c r="AI35" s="275" t="s">
        <v>36</v>
      </c>
    </row>
    <row r="36" spans="1:35" ht="12.75" customHeight="1" x14ac:dyDescent="0.2">
      <c r="A36" s="285"/>
      <c r="B36" s="9" t="s">
        <v>91</v>
      </c>
      <c r="C36" s="203"/>
      <c r="D36" s="289"/>
      <c r="E36" s="289" t="s">
        <v>50</v>
      </c>
      <c r="F36" s="289" t="s">
        <v>50</v>
      </c>
      <c r="G36" s="289" t="s">
        <v>50</v>
      </c>
      <c r="H36" s="289" t="s">
        <v>50</v>
      </c>
      <c r="I36" s="289" t="s">
        <v>50</v>
      </c>
      <c r="J36" s="289" t="s">
        <v>50</v>
      </c>
      <c r="K36" s="289" t="s">
        <v>50</v>
      </c>
      <c r="L36" s="289" t="s">
        <v>50</v>
      </c>
      <c r="M36" s="289" t="s">
        <v>50</v>
      </c>
      <c r="N36" s="289" t="s">
        <v>50</v>
      </c>
      <c r="O36" s="289" t="s">
        <v>50</v>
      </c>
      <c r="P36" s="289" t="s">
        <v>50</v>
      </c>
      <c r="Q36" s="289" t="s">
        <v>50</v>
      </c>
      <c r="R36" s="289" t="s">
        <v>50</v>
      </c>
      <c r="S36" s="289" t="s">
        <v>50</v>
      </c>
      <c r="T36" s="373" t="s">
        <v>50</v>
      </c>
      <c r="U36" s="289" t="s">
        <v>50</v>
      </c>
      <c r="V36" s="289" t="s">
        <v>50</v>
      </c>
      <c r="W36" s="289" t="s">
        <v>50</v>
      </c>
      <c r="X36" s="289" t="s">
        <v>50</v>
      </c>
      <c r="Y36" s="289" t="s">
        <v>50</v>
      </c>
      <c r="Z36" s="289" t="s">
        <v>50</v>
      </c>
      <c r="AA36" s="289" t="s">
        <v>50</v>
      </c>
      <c r="AB36" s="289" t="s">
        <v>50</v>
      </c>
      <c r="AC36" s="289" t="s">
        <v>50</v>
      </c>
      <c r="AD36" s="289" t="s">
        <v>50</v>
      </c>
      <c r="AE36" s="289" t="s">
        <v>50</v>
      </c>
      <c r="AF36" s="289" t="s">
        <v>50</v>
      </c>
      <c r="AG36" s="289" t="s">
        <v>50</v>
      </c>
      <c r="AH36" s="446" t="s">
        <v>50</v>
      </c>
      <c r="AI36" s="262" t="s">
        <v>91</v>
      </c>
    </row>
    <row r="37" spans="1:35" ht="12.75" customHeight="1" x14ac:dyDescent="0.2">
      <c r="A37" s="285"/>
      <c r="B37" s="155" t="s">
        <v>0</v>
      </c>
      <c r="C37" s="205"/>
      <c r="D37" s="295"/>
      <c r="E37" s="295">
        <v>83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>
        <v>145</v>
      </c>
      <c r="Q37" s="295">
        <v>208</v>
      </c>
      <c r="R37" s="295">
        <v>208</v>
      </c>
      <c r="S37" s="295">
        <v>208</v>
      </c>
      <c r="T37" s="374">
        <v>216</v>
      </c>
      <c r="U37" s="295">
        <v>216</v>
      </c>
      <c r="V37" s="295">
        <v>221</v>
      </c>
      <c r="W37" s="295">
        <v>237</v>
      </c>
      <c r="X37" s="295">
        <v>251</v>
      </c>
      <c r="Y37" s="295">
        <v>251</v>
      </c>
      <c r="Z37" s="295">
        <v>259</v>
      </c>
      <c r="AA37" s="295">
        <v>259</v>
      </c>
      <c r="AB37" s="295">
        <v>259</v>
      </c>
      <c r="AC37" s="295">
        <v>259</v>
      </c>
      <c r="AD37" s="295">
        <v>259</v>
      </c>
      <c r="AE37" s="295">
        <v>259</v>
      </c>
      <c r="AF37" s="295">
        <v>259</v>
      </c>
      <c r="AG37" s="295">
        <v>287</v>
      </c>
      <c r="AH37" s="296">
        <v>335</v>
      </c>
      <c r="AI37" s="263" t="s">
        <v>0</v>
      </c>
    </row>
    <row r="38" spans="1:35" ht="12.75" customHeight="1" x14ac:dyDescent="0.2">
      <c r="A38" s="285"/>
      <c r="B38" s="9" t="s">
        <v>93</v>
      </c>
      <c r="C38" s="203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373"/>
      <c r="U38" s="289"/>
      <c r="V38" s="289"/>
      <c r="W38" s="289"/>
      <c r="X38" s="289"/>
      <c r="Y38" s="289"/>
      <c r="Z38" s="289"/>
      <c r="AA38" s="161"/>
      <c r="AB38" s="161"/>
      <c r="AC38" s="161"/>
      <c r="AD38" s="161"/>
      <c r="AE38" s="161"/>
      <c r="AF38" s="161"/>
      <c r="AG38" s="161"/>
      <c r="AH38" s="254"/>
      <c r="AI38" s="262" t="s">
        <v>93</v>
      </c>
    </row>
    <row r="39" spans="1:35" ht="12.75" customHeight="1" x14ac:dyDescent="0.2">
      <c r="A39" s="285"/>
      <c r="B39" s="155" t="s">
        <v>92</v>
      </c>
      <c r="C39" s="20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>
        <v>603</v>
      </c>
      <c r="S39" s="295">
        <v>603</v>
      </c>
      <c r="T39" s="295">
        <v>603</v>
      </c>
      <c r="U39" s="295">
        <v>603</v>
      </c>
      <c r="V39" s="295">
        <v>603</v>
      </c>
      <c r="W39" s="295">
        <v>603</v>
      </c>
      <c r="X39" s="295">
        <v>603</v>
      </c>
      <c r="Y39" s="295">
        <v>603</v>
      </c>
      <c r="Z39" s="295">
        <v>603</v>
      </c>
      <c r="AA39" s="295">
        <v>603</v>
      </c>
      <c r="AB39" s="295">
        <v>603</v>
      </c>
      <c r="AC39" s="295">
        <v>603</v>
      </c>
      <c r="AD39" s="295">
        <v>603</v>
      </c>
      <c r="AE39" s="295">
        <v>610.20000000000005</v>
      </c>
      <c r="AF39" s="295">
        <v>645</v>
      </c>
      <c r="AG39" s="295">
        <v>645</v>
      </c>
      <c r="AH39" s="296">
        <v>777.6</v>
      </c>
      <c r="AI39" s="263" t="s">
        <v>92</v>
      </c>
    </row>
    <row r="40" spans="1:35" ht="12.75" customHeight="1" x14ac:dyDescent="0.2">
      <c r="A40" s="285"/>
      <c r="B40" s="11" t="s">
        <v>32</v>
      </c>
      <c r="C40" s="209"/>
      <c r="D40" s="210"/>
      <c r="E40" s="210">
        <v>281</v>
      </c>
      <c r="F40" s="210">
        <v>387</v>
      </c>
      <c r="G40" s="210">
        <v>757</v>
      </c>
      <c r="H40" s="210"/>
      <c r="I40" s="210"/>
      <c r="J40" s="210"/>
      <c r="K40" s="210"/>
      <c r="L40" s="210"/>
      <c r="M40" s="210"/>
      <c r="N40" s="210"/>
      <c r="O40" s="210"/>
      <c r="P40" s="210">
        <v>1851</v>
      </c>
      <c r="Q40" s="210">
        <v>1851</v>
      </c>
      <c r="R40" s="210">
        <v>1882</v>
      </c>
      <c r="S40" s="210">
        <v>1741</v>
      </c>
      <c r="T40" s="377">
        <v>1667</v>
      </c>
      <c r="U40" s="210">
        <v>1908</v>
      </c>
      <c r="V40" s="210">
        <v>1908</v>
      </c>
      <c r="W40" s="210">
        <v>1922</v>
      </c>
      <c r="X40" s="210">
        <v>2036</v>
      </c>
      <c r="Y40" s="210">
        <v>2080</v>
      </c>
      <c r="Z40" s="210">
        <v>2119</v>
      </c>
      <c r="AA40" s="210">
        <v>2127</v>
      </c>
      <c r="AB40" s="210">
        <v>2244</v>
      </c>
      <c r="AC40" s="210">
        <v>2278</v>
      </c>
      <c r="AD40" s="210">
        <v>2282</v>
      </c>
      <c r="AE40" s="210">
        <v>2542</v>
      </c>
      <c r="AF40" s="210">
        <v>2657</v>
      </c>
      <c r="AG40" s="210">
        <v>2842</v>
      </c>
      <c r="AH40" s="359">
        <v>3060</v>
      </c>
      <c r="AI40" s="126" t="s">
        <v>32</v>
      </c>
    </row>
    <row r="41" spans="1:35" ht="12.75" customHeight="1" x14ac:dyDescent="0.2">
      <c r="A41" s="285"/>
      <c r="B41" s="195" t="s">
        <v>18</v>
      </c>
      <c r="C41" s="207" t="s">
        <v>50</v>
      </c>
      <c r="D41" s="229" t="s">
        <v>50</v>
      </c>
      <c r="E41" s="295" t="s">
        <v>50</v>
      </c>
      <c r="F41" s="295" t="s">
        <v>50</v>
      </c>
      <c r="G41" s="295" t="s">
        <v>50</v>
      </c>
      <c r="H41" s="295" t="s">
        <v>50</v>
      </c>
      <c r="I41" s="295" t="s">
        <v>50</v>
      </c>
      <c r="J41" s="295" t="s">
        <v>50</v>
      </c>
      <c r="K41" s="295" t="s">
        <v>50</v>
      </c>
      <c r="L41" s="295" t="s">
        <v>50</v>
      </c>
      <c r="M41" s="295" t="s">
        <v>50</v>
      </c>
      <c r="N41" s="295" t="s">
        <v>50</v>
      </c>
      <c r="O41" s="295" t="s">
        <v>52</v>
      </c>
      <c r="P41" s="295" t="s">
        <v>50</v>
      </c>
      <c r="Q41" s="295" t="s">
        <v>50</v>
      </c>
      <c r="R41" s="295" t="s">
        <v>50</v>
      </c>
      <c r="S41" s="295" t="s">
        <v>50</v>
      </c>
      <c r="T41" s="374">
        <v>11</v>
      </c>
      <c r="U41" s="295">
        <v>11</v>
      </c>
      <c r="V41" s="295">
        <v>11</v>
      </c>
      <c r="W41" s="295">
        <v>11</v>
      </c>
      <c r="X41" s="295">
        <v>11</v>
      </c>
      <c r="Y41" s="295">
        <v>11</v>
      </c>
      <c r="Z41" s="194">
        <v>11</v>
      </c>
      <c r="AA41" s="194">
        <v>11</v>
      </c>
      <c r="AB41" s="194">
        <v>11</v>
      </c>
      <c r="AC41" s="250">
        <v>11</v>
      </c>
      <c r="AD41" s="250">
        <v>11</v>
      </c>
      <c r="AE41" s="250">
        <v>11</v>
      </c>
      <c r="AF41" s="250">
        <v>11</v>
      </c>
      <c r="AG41" s="445">
        <v>41</v>
      </c>
      <c r="AH41" s="416">
        <f>AG41</f>
        <v>41</v>
      </c>
      <c r="AI41" s="276" t="s">
        <v>18</v>
      </c>
    </row>
    <row r="42" spans="1:35" ht="12.75" customHeight="1" x14ac:dyDescent="0.2">
      <c r="A42" s="285"/>
      <c r="B42" s="9" t="s">
        <v>48</v>
      </c>
      <c r="C42" s="203">
        <v>41</v>
      </c>
      <c r="D42" s="289">
        <v>57</v>
      </c>
      <c r="E42" s="289">
        <v>73</v>
      </c>
      <c r="F42" s="289"/>
      <c r="G42" s="289"/>
      <c r="H42" s="289"/>
      <c r="I42" s="289">
        <v>94</v>
      </c>
      <c r="J42" s="289">
        <v>107</v>
      </c>
      <c r="K42" s="289">
        <v>103</v>
      </c>
      <c r="L42" s="289">
        <v>109</v>
      </c>
      <c r="M42" s="289">
        <v>128</v>
      </c>
      <c r="N42" s="289">
        <v>128</v>
      </c>
      <c r="O42" s="289">
        <v>144</v>
      </c>
      <c r="P42" s="289">
        <v>143</v>
      </c>
      <c r="Q42" s="289">
        <v>173</v>
      </c>
      <c r="R42" s="161">
        <v>194</v>
      </c>
      <c r="S42" s="289">
        <v>194</v>
      </c>
      <c r="T42" s="373">
        <v>264</v>
      </c>
      <c r="U42" s="289">
        <v>271</v>
      </c>
      <c r="V42" s="289">
        <v>239</v>
      </c>
      <c r="W42" s="289">
        <v>253</v>
      </c>
      <c r="X42" s="289">
        <v>344</v>
      </c>
      <c r="Y42" s="289">
        <v>381</v>
      </c>
      <c r="Z42" s="289">
        <v>393</v>
      </c>
      <c r="AA42" s="289">
        <v>392</v>
      </c>
      <c r="AB42" s="161">
        <v>392</v>
      </c>
      <c r="AC42" s="161">
        <v>392</v>
      </c>
      <c r="AD42" s="161">
        <v>392</v>
      </c>
      <c r="AE42" s="161">
        <v>392</v>
      </c>
      <c r="AF42" s="289">
        <v>523</v>
      </c>
      <c r="AG42" s="289">
        <v>599</v>
      </c>
      <c r="AH42" s="251">
        <f>1008</f>
        <v>1008</v>
      </c>
      <c r="AI42" s="262" t="s">
        <v>48</v>
      </c>
    </row>
    <row r="43" spans="1:35" ht="12.75" customHeight="1" x14ac:dyDescent="0.2">
      <c r="A43" s="285"/>
      <c r="B43" s="163" t="s">
        <v>19</v>
      </c>
      <c r="C43" s="244"/>
      <c r="D43" s="297"/>
      <c r="E43" s="297">
        <v>1148</v>
      </c>
      <c r="F43" s="297">
        <v>1152</v>
      </c>
      <c r="G43" s="297">
        <v>1164</v>
      </c>
      <c r="H43" s="297">
        <v>1184</v>
      </c>
      <c r="I43" s="297">
        <v>1184</v>
      </c>
      <c r="J43" s="297">
        <v>1197</v>
      </c>
      <c r="K43" s="297">
        <v>1244</v>
      </c>
      <c r="L43" s="297">
        <v>1244</v>
      </c>
      <c r="M43" s="297">
        <v>1262</v>
      </c>
      <c r="N43" s="297">
        <v>1267</v>
      </c>
      <c r="O43" s="297">
        <v>1270</v>
      </c>
      <c r="P43" s="297">
        <v>1305</v>
      </c>
      <c r="Q43" s="297">
        <v>1304</v>
      </c>
      <c r="R43" s="297">
        <v>1351</v>
      </c>
      <c r="S43" s="297">
        <v>1341</v>
      </c>
      <c r="T43" s="378">
        <v>1358</v>
      </c>
      <c r="U43" s="297">
        <v>1361</v>
      </c>
      <c r="V43" s="297">
        <v>1383</v>
      </c>
      <c r="W43" s="297">
        <v>1383</v>
      </c>
      <c r="X43" s="297">
        <v>1406</v>
      </c>
      <c r="Y43" s="297">
        <v>1406</v>
      </c>
      <c r="Z43" s="297">
        <v>1415</v>
      </c>
      <c r="AA43" s="297">
        <v>1419</v>
      </c>
      <c r="AB43" s="297">
        <v>1419</v>
      </c>
      <c r="AC43" s="297">
        <v>1429</v>
      </c>
      <c r="AD43" s="297">
        <v>1440</v>
      </c>
      <c r="AE43" s="297">
        <v>1447</v>
      </c>
      <c r="AF43" s="297">
        <v>1458</v>
      </c>
      <c r="AG43" s="297">
        <v>1462</v>
      </c>
      <c r="AH43" s="379">
        <f>AG43</f>
        <v>1462</v>
      </c>
      <c r="AI43" s="164" t="s">
        <v>19</v>
      </c>
    </row>
    <row r="44" spans="1:35" ht="12.75" customHeight="1" x14ac:dyDescent="0.2">
      <c r="A44" s="285"/>
      <c r="B44" s="486" t="s">
        <v>151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</row>
    <row r="45" spans="1:35" ht="12.75" customHeight="1" x14ac:dyDescent="0.2">
      <c r="A45" s="285"/>
      <c r="B45" s="138" t="s">
        <v>143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</row>
    <row r="46" spans="1:35" ht="12.75" customHeight="1" x14ac:dyDescent="0.2">
      <c r="A46" s="285"/>
      <c r="B46" s="138" t="s">
        <v>168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</row>
    <row r="47" spans="1:35" ht="12.75" customHeight="1" x14ac:dyDescent="0.2">
      <c r="A47" s="285"/>
      <c r="B47" s="138" t="s">
        <v>152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</row>
    <row r="48" spans="1:35" ht="12.75" customHeight="1" x14ac:dyDescent="0.2">
      <c r="A48" s="285"/>
      <c r="B48" s="277" t="s">
        <v>98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</row>
    <row r="49" spans="2:39" ht="11.25" customHeight="1" x14ac:dyDescent="0.2">
      <c r="B49" s="294" t="s">
        <v>78</v>
      </c>
    </row>
    <row r="50" spans="2:39" ht="12.75" customHeight="1" x14ac:dyDescent="0.2">
      <c r="B50" s="277" t="s">
        <v>76</v>
      </c>
    </row>
    <row r="51" spans="2:39" ht="12.75" customHeight="1" x14ac:dyDescent="0.2">
      <c r="B51" s="294" t="s">
        <v>77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2:39" ht="12.75" customHeight="1" x14ac:dyDescent="0.2">
      <c r="B52" s="294" t="s">
        <v>99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2:39" ht="12.75" customHeight="1" x14ac:dyDescent="0.2">
      <c r="B53" s="352"/>
    </row>
    <row r="54" spans="2:39" ht="12.75" customHeight="1" x14ac:dyDescent="0.2">
      <c r="B54" s="352"/>
    </row>
  </sheetData>
  <mergeCells count="4">
    <mergeCell ref="B1:C1"/>
    <mergeCell ref="B3:AI3"/>
    <mergeCell ref="B44:AI44"/>
    <mergeCell ref="B2:AI2"/>
  </mergeCells>
  <phoneticPr fontId="11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G51"/>
  <sheetViews>
    <sheetView topLeftCell="A22" zoomScaleNormal="100" workbookViewId="0">
      <selection activeCell="I19" sqref="I19"/>
    </sheetView>
  </sheetViews>
  <sheetFormatPr defaultRowHeight="12.75" x14ac:dyDescent="0.2"/>
  <cols>
    <col min="1" max="1" width="2.7109375" style="283" customWidth="1"/>
    <col min="2" max="2" width="4.28515625" style="283" customWidth="1"/>
    <col min="3" max="6" width="10.7109375" style="283" customWidth="1"/>
    <col min="7" max="7" width="5.140625" style="5" customWidth="1"/>
    <col min="8" max="16384" width="9.140625" style="283"/>
  </cols>
  <sheetData>
    <row r="1" spans="1:7" ht="15" customHeight="1" x14ac:dyDescent="0.25">
      <c r="B1" s="495"/>
      <c r="C1" s="495"/>
      <c r="D1" s="30"/>
      <c r="E1" s="30"/>
      <c r="F1" s="496" t="s">
        <v>82</v>
      </c>
      <c r="G1" s="497"/>
    </row>
    <row r="2" spans="1:7" ht="30" customHeight="1" x14ac:dyDescent="0.2">
      <c r="B2" s="498" t="s">
        <v>136</v>
      </c>
      <c r="C2" s="498"/>
      <c r="D2" s="498"/>
      <c r="E2" s="498"/>
      <c r="F2" s="498"/>
      <c r="G2" s="498"/>
    </row>
    <row r="3" spans="1:7" ht="15" customHeight="1" x14ac:dyDescent="0.2">
      <c r="C3" s="499" t="s">
        <v>153</v>
      </c>
      <c r="D3" s="499"/>
      <c r="E3" s="499"/>
      <c r="F3" s="499"/>
      <c r="G3" s="372"/>
    </row>
    <row r="4" spans="1:7" ht="12.75" customHeight="1" x14ac:dyDescent="0.2">
      <c r="B4" s="5"/>
      <c r="C4" s="489" t="s">
        <v>62</v>
      </c>
      <c r="D4" s="492" t="s">
        <v>67</v>
      </c>
      <c r="E4" s="489" t="s">
        <v>68</v>
      </c>
      <c r="F4" s="489" t="s">
        <v>100</v>
      </c>
      <c r="G4" s="135"/>
    </row>
    <row r="5" spans="1:7" ht="12.75" customHeight="1" x14ac:dyDescent="0.2">
      <c r="B5" s="5"/>
      <c r="C5" s="490"/>
      <c r="D5" s="493"/>
      <c r="E5" s="490"/>
      <c r="F5" s="490"/>
      <c r="G5" s="135"/>
    </row>
    <row r="6" spans="1:7" x14ac:dyDescent="0.2">
      <c r="B6" s="5"/>
      <c r="C6" s="490"/>
      <c r="D6" s="493"/>
      <c r="E6" s="490"/>
      <c r="F6" s="490"/>
      <c r="G6" s="135"/>
    </row>
    <row r="7" spans="1:7" ht="12.75" customHeight="1" x14ac:dyDescent="0.2">
      <c r="B7" s="5"/>
      <c r="C7" s="491"/>
      <c r="D7" s="494"/>
      <c r="E7" s="491"/>
      <c r="F7" s="491"/>
      <c r="G7" s="135"/>
    </row>
    <row r="8" spans="1:7" ht="12.75" customHeight="1" x14ac:dyDescent="0.2">
      <c r="A8" s="285"/>
      <c r="B8" s="8" t="s">
        <v>37</v>
      </c>
      <c r="C8" s="330">
        <v>1763</v>
      </c>
      <c r="D8" s="331">
        <v>13229</v>
      </c>
      <c r="E8" s="331">
        <v>1349</v>
      </c>
      <c r="F8" s="332">
        <v>138869</v>
      </c>
      <c r="G8" s="8" t="s">
        <v>37</v>
      </c>
    </row>
    <row r="9" spans="1:7" ht="12.75" customHeight="1" x14ac:dyDescent="0.2">
      <c r="A9" s="285"/>
      <c r="B9" s="38" t="s">
        <v>20</v>
      </c>
      <c r="C9" s="333">
        <f>motorway!AH9</f>
        <v>790</v>
      </c>
      <c r="D9" s="334">
        <v>2900</v>
      </c>
      <c r="E9" s="335">
        <v>4019</v>
      </c>
      <c r="F9" s="380">
        <v>12170</v>
      </c>
      <c r="G9" s="155" t="s">
        <v>20</v>
      </c>
    </row>
    <row r="10" spans="1:7" ht="12.75" customHeight="1" x14ac:dyDescent="0.2">
      <c r="A10" s="285"/>
      <c r="B10" s="9" t="s">
        <v>22</v>
      </c>
      <c r="C10" s="336">
        <f>motorway!AH10</f>
        <v>1276</v>
      </c>
      <c r="D10" s="337">
        <v>5826</v>
      </c>
      <c r="E10" s="337">
        <v>48666</v>
      </c>
      <c r="F10" s="381">
        <v>74919</v>
      </c>
      <c r="G10" s="9" t="s">
        <v>22</v>
      </c>
    </row>
    <row r="11" spans="1:7" ht="12.75" customHeight="1" x14ac:dyDescent="0.2">
      <c r="A11" s="285"/>
      <c r="B11" s="155" t="s">
        <v>33</v>
      </c>
      <c r="C11" s="338">
        <f>motorway!AH11</f>
        <v>1346</v>
      </c>
      <c r="D11" s="327">
        <v>2603</v>
      </c>
      <c r="E11" s="503">
        <v>70900</v>
      </c>
      <c r="F11" s="504"/>
      <c r="G11" s="155" t="s">
        <v>33</v>
      </c>
    </row>
    <row r="12" spans="1:7" ht="12.75" customHeight="1" x14ac:dyDescent="0.2">
      <c r="A12" s="285"/>
      <c r="B12" s="9" t="s">
        <v>38</v>
      </c>
      <c r="C12" s="336">
        <f>motorway!AH12</f>
        <v>13183</v>
      </c>
      <c r="D12" s="337">
        <v>37842</v>
      </c>
      <c r="E12" s="337">
        <v>178751</v>
      </c>
      <c r="F12" s="339"/>
      <c r="G12" s="9" t="s">
        <v>38</v>
      </c>
    </row>
    <row r="13" spans="1:7" ht="12.75" customHeight="1" x14ac:dyDescent="0.2">
      <c r="A13" s="285"/>
      <c r="B13" s="38" t="s">
        <v>23</v>
      </c>
      <c r="C13" s="333">
        <f>motorway!AH13</f>
        <v>161</v>
      </c>
      <c r="D13" s="334">
        <f>1605+2406-C13</f>
        <v>3850</v>
      </c>
      <c r="E13" s="334">
        <f>12479+116</f>
        <v>12595</v>
      </c>
      <c r="F13" s="334">
        <f>59067-C13-D13-E13</f>
        <v>42461</v>
      </c>
      <c r="G13" s="38" t="s">
        <v>23</v>
      </c>
    </row>
    <row r="14" spans="1:7" ht="12.75" customHeight="1" x14ac:dyDescent="0.2">
      <c r="A14" s="285"/>
      <c r="B14" s="9" t="s">
        <v>41</v>
      </c>
      <c r="C14" s="336">
        <f>motorway!AH14</f>
        <v>995</v>
      </c>
      <c r="D14" s="337">
        <v>4314</v>
      </c>
      <c r="E14" s="337">
        <v>13120</v>
      </c>
      <c r="F14" s="381">
        <v>80548</v>
      </c>
      <c r="G14" s="9" t="s">
        <v>41</v>
      </c>
    </row>
    <row r="15" spans="1:7" ht="12.75" customHeight="1" x14ac:dyDescent="0.2">
      <c r="A15" s="285"/>
      <c r="B15" s="38" t="s">
        <v>34</v>
      </c>
      <c r="C15" s="333">
        <f>motorway!AH15</f>
        <v>2098</v>
      </c>
      <c r="D15" s="334">
        <v>9299</v>
      </c>
      <c r="E15" s="334">
        <v>30864</v>
      </c>
      <c r="F15" s="340">
        <v>75600</v>
      </c>
      <c r="G15" s="447" t="s">
        <v>34</v>
      </c>
    </row>
    <row r="16" spans="1:7" ht="12.75" customHeight="1" x14ac:dyDescent="0.2">
      <c r="A16" s="285"/>
      <c r="B16" s="9" t="s">
        <v>39</v>
      </c>
      <c r="C16" s="336">
        <f>motorway!AH16</f>
        <v>15585</v>
      </c>
      <c r="D16" s="337">
        <v>14870</v>
      </c>
      <c r="E16" s="337">
        <v>135171</v>
      </c>
      <c r="F16" s="382">
        <v>501053</v>
      </c>
      <c r="G16" s="9" t="s">
        <v>39</v>
      </c>
    </row>
    <row r="17" spans="1:7" ht="12.75" customHeight="1" x14ac:dyDescent="0.2">
      <c r="A17" s="285"/>
      <c r="B17" s="38" t="s">
        <v>40</v>
      </c>
      <c r="C17" s="333">
        <f>motorway!AH17</f>
        <v>11671</v>
      </c>
      <c r="D17" s="334">
        <v>9522</v>
      </c>
      <c r="E17" s="334">
        <v>378693</v>
      </c>
      <c r="F17" s="340">
        <v>704201</v>
      </c>
      <c r="G17" s="38" t="s">
        <v>40</v>
      </c>
    </row>
    <row r="18" spans="1:7" ht="12.75" customHeight="1" x14ac:dyDescent="0.2">
      <c r="A18" s="285"/>
      <c r="B18" s="9" t="s">
        <v>51</v>
      </c>
      <c r="C18" s="341">
        <f>motorway!AH18</f>
        <v>1310</v>
      </c>
      <c r="D18" s="337">
        <v>7049</v>
      </c>
      <c r="E18" s="337">
        <v>9523</v>
      </c>
      <c r="F18" s="381">
        <v>8831</v>
      </c>
      <c r="G18" s="9" t="s">
        <v>51</v>
      </c>
    </row>
    <row r="19" spans="1:7" ht="12.75" customHeight="1" x14ac:dyDescent="0.2">
      <c r="A19" s="285"/>
      <c r="B19" s="155" t="s">
        <v>42</v>
      </c>
      <c r="C19" s="338">
        <f>motorway!AH19</f>
        <v>6966</v>
      </c>
      <c r="D19" s="327">
        <v>23335</v>
      </c>
      <c r="E19" s="327">
        <v>135691</v>
      </c>
      <c r="F19" s="383">
        <v>69098</v>
      </c>
      <c r="G19" s="155" t="s">
        <v>42</v>
      </c>
    </row>
    <row r="20" spans="1:7" ht="12.75" customHeight="1" x14ac:dyDescent="0.2">
      <c r="A20" s="285"/>
      <c r="B20" s="9" t="s">
        <v>21</v>
      </c>
      <c r="C20" s="336">
        <f>motorway!AH20</f>
        <v>257</v>
      </c>
      <c r="D20" s="337">
        <v>5461</v>
      </c>
      <c r="E20" s="337">
        <v>2394</v>
      </c>
      <c r="F20" s="381">
        <v>4950</v>
      </c>
      <c r="G20" s="9" t="s">
        <v>21</v>
      </c>
    </row>
    <row r="21" spans="1:7" ht="12.75" customHeight="1" x14ac:dyDescent="0.2">
      <c r="A21" s="285"/>
      <c r="B21" s="155" t="s">
        <v>25</v>
      </c>
      <c r="C21" s="342" t="str">
        <f>motorway!AH21</f>
        <v>-</v>
      </c>
      <c r="D21" s="327">
        <v>1673</v>
      </c>
      <c r="E21" s="327">
        <v>5448</v>
      </c>
      <c r="F21" s="383">
        <v>62022</v>
      </c>
      <c r="G21" s="155" t="s">
        <v>25</v>
      </c>
    </row>
    <row r="22" spans="1:7" ht="12.75" customHeight="1" x14ac:dyDescent="0.2">
      <c r="A22" s="285"/>
      <c r="B22" s="9" t="s">
        <v>26</v>
      </c>
      <c r="C22" s="336">
        <f>motorway!AH22</f>
        <v>403</v>
      </c>
      <c r="D22" s="343">
        <f>1751+4928</f>
        <v>6679</v>
      </c>
      <c r="E22" s="343">
        <v>14559</v>
      </c>
      <c r="F22" s="384">
        <v>50870</v>
      </c>
      <c r="G22" s="9" t="s">
        <v>26</v>
      </c>
    </row>
    <row r="23" spans="1:7" ht="12.75" customHeight="1" x14ac:dyDescent="0.2">
      <c r="A23" s="285"/>
      <c r="B23" s="155" t="s">
        <v>43</v>
      </c>
      <c r="C23" s="338">
        <f>motorway!AH23</f>
        <v>165</v>
      </c>
      <c r="D23" s="327">
        <v>839</v>
      </c>
      <c r="E23" s="385">
        <v>1891</v>
      </c>
      <c r="F23" s="386">
        <v>19</v>
      </c>
      <c r="G23" s="155" t="s">
        <v>43</v>
      </c>
    </row>
    <row r="24" spans="1:7" ht="12.75" customHeight="1" x14ac:dyDescent="0.2">
      <c r="A24" s="285"/>
      <c r="B24" s="9" t="s">
        <v>24</v>
      </c>
      <c r="C24" s="336">
        <f>motorway!AH24</f>
        <v>1723.2</v>
      </c>
      <c r="D24" s="505">
        <v>30128</v>
      </c>
      <c r="E24" s="505"/>
      <c r="F24" s="381">
        <v>188551</v>
      </c>
      <c r="G24" s="452" t="s">
        <v>24</v>
      </c>
    </row>
    <row r="25" spans="1:7" ht="12.75" customHeight="1" x14ac:dyDescent="0.2">
      <c r="A25" s="285"/>
      <c r="B25" s="155" t="s">
        <v>27</v>
      </c>
      <c r="C25" s="342" t="str">
        <f>motorway!AH25</f>
        <v>-</v>
      </c>
      <c r="D25" s="503">
        <v>520</v>
      </c>
      <c r="E25" s="503"/>
      <c r="F25" s="386">
        <v>2120</v>
      </c>
      <c r="G25" s="155" t="s">
        <v>27</v>
      </c>
    </row>
    <row r="26" spans="1:7" ht="12.75" customHeight="1" x14ac:dyDescent="0.2">
      <c r="A26" s="285"/>
      <c r="B26" s="9" t="s">
        <v>35</v>
      </c>
      <c r="C26" s="336">
        <f>motorway!AH26</f>
        <v>2790</v>
      </c>
      <c r="D26" s="337">
        <v>2668</v>
      </c>
      <c r="E26" s="337">
        <v>7813</v>
      </c>
      <c r="F26" s="381">
        <v>127173</v>
      </c>
      <c r="G26" s="9" t="s">
        <v>35</v>
      </c>
    </row>
    <row r="27" spans="1:7" ht="12.75" customHeight="1" x14ac:dyDescent="0.2">
      <c r="A27" s="285"/>
      <c r="B27" s="155" t="s">
        <v>44</v>
      </c>
      <c r="C27" s="334">
        <f>motorway!AH27</f>
        <v>1743</v>
      </c>
      <c r="D27" s="327">
        <f>10365+493.38</f>
        <v>10858.38</v>
      </c>
      <c r="E27" s="327">
        <f>23653</f>
        <v>23653</v>
      </c>
      <c r="F27" s="383">
        <v>91238</v>
      </c>
      <c r="G27" s="155" t="s">
        <v>44</v>
      </c>
    </row>
    <row r="28" spans="1:7" ht="12.75" customHeight="1" x14ac:dyDescent="0.2">
      <c r="A28" s="285"/>
      <c r="B28" s="9" t="s">
        <v>28</v>
      </c>
      <c r="C28" s="336">
        <f>motorway!AH28</f>
        <v>1676</v>
      </c>
      <c r="D28" s="337">
        <f>19451-C28</f>
        <v>17775</v>
      </c>
      <c r="E28" s="337">
        <v>153675</v>
      </c>
      <c r="F28" s="381">
        <v>251789</v>
      </c>
      <c r="G28" s="9" t="s">
        <v>28</v>
      </c>
    </row>
    <row r="29" spans="1:7" ht="12.75" customHeight="1" x14ac:dyDescent="0.2">
      <c r="A29" s="285"/>
      <c r="B29" s="155" t="s">
        <v>45</v>
      </c>
      <c r="C29" s="338">
        <f>motorway!AH29</f>
        <v>3065</v>
      </c>
      <c r="D29" s="327">
        <v>6456.9152284189004</v>
      </c>
      <c r="E29" s="327">
        <v>4791</v>
      </c>
      <c r="F29" s="387"/>
      <c r="G29" s="155" t="s">
        <v>45</v>
      </c>
    </row>
    <row r="30" spans="1:7" ht="12.75" customHeight="1" x14ac:dyDescent="0.2">
      <c r="A30" s="285"/>
      <c r="B30" s="9" t="s">
        <v>29</v>
      </c>
      <c r="C30" s="336">
        <f>motorway!AH30</f>
        <v>866</v>
      </c>
      <c r="D30" s="337">
        <v>17007</v>
      </c>
      <c r="E30" s="343">
        <v>35083</v>
      </c>
      <c r="F30" s="384">
        <v>33435</v>
      </c>
      <c r="G30" s="9" t="s">
        <v>29</v>
      </c>
    </row>
    <row r="31" spans="1:7" ht="12.75" customHeight="1" x14ac:dyDescent="0.2">
      <c r="A31" s="285"/>
      <c r="B31" s="155" t="s">
        <v>31</v>
      </c>
      <c r="C31" s="338">
        <f>motorway!AH31</f>
        <v>623</v>
      </c>
      <c r="D31" s="327">
        <v>5917</v>
      </c>
      <c r="E31" s="503">
        <v>32087</v>
      </c>
      <c r="F31" s="504"/>
      <c r="G31" s="155" t="s">
        <v>31</v>
      </c>
    </row>
    <row r="32" spans="1:7" ht="12.75" customHeight="1" x14ac:dyDescent="0.2">
      <c r="A32" s="285"/>
      <c r="B32" s="9" t="s">
        <v>30</v>
      </c>
      <c r="C32" s="336">
        <f>motorway!AH32</f>
        <v>495</v>
      </c>
      <c r="D32" s="337">
        <v>3594.3</v>
      </c>
      <c r="E32" s="337">
        <f>3631.3+10340.45</f>
        <v>13971.75</v>
      </c>
      <c r="F32" s="381">
        <v>39670.54</v>
      </c>
      <c r="G32" s="9" t="s">
        <v>30</v>
      </c>
    </row>
    <row r="33" spans="1:7" ht="12.75" customHeight="1" x14ac:dyDescent="0.2">
      <c r="A33" s="285"/>
      <c r="B33" s="155" t="s">
        <v>46</v>
      </c>
      <c r="C33" s="338">
        <f>motorway!AH33</f>
        <v>926</v>
      </c>
      <c r="D33" s="327">
        <f>8605+4859-C33</f>
        <v>12538</v>
      </c>
      <c r="E33" s="327">
        <v>13469</v>
      </c>
      <c r="F33" s="383">
        <v>50992</v>
      </c>
      <c r="G33" s="155" t="s">
        <v>46</v>
      </c>
    </row>
    <row r="34" spans="1:7" ht="12.75" customHeight="1" x14ac:dyDescent="0.2">
      <c r="A34" s="285"/>
      <c r="B34" s="11" t="s">
        <v>47</v>
      </c>
      <c r="C34" s="347">
        <f>motorway!AH34</f>
        <v>2133</v>
      </c>
      <c r="D34" s="348">
        <v>13556</v>
      </c>
      <c r="E34" s="348">
        <v>140803</v>
      </c>
      <c r="F34" s="349">
        <v>42805</v>
      </c>
      <c r="G34" s="9" t="s">
        <v>47</v>
      </c>
    </row>
    <row r="35" spans="1:7" ht="12.75" customHeight="1" x14ac:dyDescent="0.2">
      <c r="A35" s="285"/>
      <c r="B35" s="163" t="s">
        <v>36</v>
      </c>
      <c r="C35" s="344">
        <f>motorway!AH35</f>
        <v>3856.9</v>
      </c>
      <c r="D35" s="345">
        <f>47450+232.7 +2066.3</f>
        <v>49749</v>
      </c>
      <c r="E35" s="345">
        <f>30323+2912.4</f>
        <v>33235.4</v>
      </c>
      <c r="F35" s="346">
        <f>316082+4727 +15716.4</f>
        <v>336525.4</v>
      </c>
      <c r="G35" s="313" t="s">
        <v>36</v>
      </c>
    </row>
    <row r="36" spans="1:7" ht="12.75" customHeight="1" x14ac:dyDescent="0.2">
      <c r="A36" s="285"/>
      <c r="B36" s="9" t="s">
        <v>91</v>
      </c>
      <c r="C36" s="341" t="str">
        <f>motorway!AH36</f>
        <v>-</v>
      </c>
      <c r="D36" s="505">
        <f>6333+1839</f>
        <v>8172</v>
      </c>
      <c r="E36" s="505"/>
      <c r="F36" s="506"/>
      <c r="G36" s="9" t="s">
        <v>91</v>
      </c>
    </row>
    <row r="37" spans="1:7" ht="16.5" customHeight="1" x14ac:dyDescent="0.2">
      <c r="A37" s="285"/>
      <c r="B37" s="155" t="s">
        <v>0</v>
      </c>
      <c r="C37" s="338">
        <f>motorway!AH37</f>
        <v>335</v>
      </c>
      <c r="D37" s="327"/>
      <c r="E37" s="327">
        <v>3790</v>
      </c>
      <c r="F37" s="383">
        <v>9788</v>
      </c>
      <c r="G37" s="155" t="s">
        <v>0</v>
      </c>
    </row>
    <row r="38" spans="1:7" ht="12.75" customHeight="1" x14ac:dyDescent="0.2">
      <c r="A38" s="285"/>
      <c r="B38" s="9" t="s">
        <v>93</v>
      </c>
      <c r="C38" s="448" t="s">
        <v>50</v>
      </c>
      <c r="D38" s="337"/>
      <c r="E38" s="337"/>
      <c r="F38" s="381"/>
      <c r="G38" s="9" t="s">
        <v>93</v>
      </c>
    </row>
    <row r="39" spans="1:7" ht="14.25" customHeight="1" x14ac:dyDescent="0.2">
      <c r="A39" s="285"/>
      <c r="B39" s="155" t="s">
        <v>92</v>
      </c>
      <c r="C39" s="338">
        <v>645</v>
      </c>
      <c r="D39" s="327">
        <v>3864</v>
      </c>
      <c r="E39" s="327">
        <v>9651</v>
      </c>
      <c r="F39" s="383">
        <v>30402</v>
      </c>
      <c r="G39" s="155" t="s">
        <v>92</v>
      </c>
    </row>
    <row r="40" spans="1:7" x14ac:dyDescent="0.2">
      <c r="A40" s="285"/>
      <c r="B40" s="11" t="s">
        <v>32</v>
      </c>
      <c r="C40" s="347">
        <f>motorway!AH40</f>
        <v>3060</v>
      </c>
      <c r="D40" s="348">
        <v>31006</v>
      </c>
      <c r="E40" s="348">
        <v>34165</v>
      </c>
      <c r="F40" s="349">
        <v>182500</v>
      </c>
      <c r="G40" s="11" t="s">
        <v>32</v>
      </c>
    </row>
    <row r="41" spans="1:7" ht="12.75" customHeight="1" x14ac:dyDescent="0.2">
      <c r="A41" s="285"/>
      <c r="B41" s="195" t="s">
        <v>18</v>
      </c>
      <c r="C41" s="417">
        <f>motorway!AH41</f>
        <v>41</v>
      </c>
      <c r="D41" s="327">
        <v>4370</v>
      </c>
      <c r="E41" s="327">
        <v>3380</v>
      </c>
      <c r="F41" s="327">
        <v>5158</v>
      </c>
      <c r="G41" s="195" t="s">
        <v>18</v>
      </c>
    </row>
    <row r="42" spans="1:7" ht="12.75" customHeight="1" x14ac:dyDescent="0.2">
      <c r="A42" s="285"/>
      <c r="B42" s="9" t="s">
        <v>48</v>
      </c>
      <c r="C42" s="337">
        <f>motorway!AH42</f>
        <v>1008</v>
      </c>
      <c r="D42" s="337">
        <v>10753</v>
      </c>
      <c r="E42" s="337">
        <v>44696</v>
      </c>
      <c r="F42" s="337">
        <v>39715</v>
      </c>
      <c r="G42" s="9" t="s">
        <v>48</v>
      </c>
    </row>
    <row r="43" spans="1:7" ht="16.5" customHeight="1" x14ac:dyDescent="0.2">
      <c r="A43" s="285"/>
      <c r="B43" s="163" t="s">
        <v>19</v>
      </c>
      <c r="C43" s="327">
        <f>motorway!AH43</f>
        <v>1462</v>
      </c>
      <c r="D43" s="417">
        <v>397</v>
      </c>
      <c r="E43" s="327">
        <v>17772</v>
      </c>
      <c r="F43" s="327">
        <v>51927</v>
      </c>
      <c r="G43" s="163" t="s">
        <v>19</v>
      </c>
    </row>
    <row r="44" spans="1:7" ht="39" customHeight="1" x14ac:dyDescent="0.2">
      <c r="B44" s="486" t="s">
        <v>121</v>
      </c>
      <c r="C44" s="486"/>
      <c r="D44" s="486"/>
      <c r="E44" s="486"/>
      <c r="F44" s="486"/>
      <c r="G44" s="486"/>
    </row>
    <row r="45" spans="1:7" ht="12.75" customHeight="1" x14ac:dyDescent="0.2">
      <c r="B45" s="500" t="s">
        <v>144</v>
      </c>
      <c r="C45" s="500"/>
      <c r="D45" s="500"/>
      <c r="E45" s="500"/>
      <c r="F45" s="500"/>
      <c r="G45" s="500"/>
    </row>
    <row r="46" spans="1:7" ht="12.75" customHeight="1" x14ac:dyDescent="0.2">
      <c r="B46" s="138" t="s">
        <v>180</v>
      </c>
      <c r="C46" s="369"/>
      <c r="D46" s="369"/>
      <c r="E46" s="369"/>
      <c r="F46" s="369"/>
      <c r="G46" s="369"/>
    </row>
    <row r="47" spans="1:7" ht="12.75" customHeight="1" x14ac:dyDescent="0.2">
      <c r="B47" s="138" t="s">
        <v>118</v>
      </c>
      <c r="C47" s="369"/>
      <c r="D47" s="369"/>
      <c r="E47" s="369"/>
      <c r="F47" s="369"/>
      <c r="G47" s="369"/>
    </row>
    <row r="48" spans="1:7" ht="23.25" customHeight="1" x14ac:dyDescent="0.2">
      <c r="B48" s="501" t="s">
        <v>149</v>
      </c>
      <c r="C48" s="502"/>
      <c r="D48" s="502"/>
      <c r="E48" s="502"/>
      <c r="F48" s="502"/>
      <c r="G48" s="502"/>
    </row>
    <row r="49" spans="2:7" ht="12.75" customHeight="1" x14ac:dyDescent="0.2">
      <c r="B49" s="501" t="s">
        <v>69</v>
      </c>
      <c r="C49" s="502"/>
      <c r="D49" s="502"/>
      <c r="E49" s="502"/>
      <c r="F49" s="502"/>
      <c r="G49" s="502"/>
    </row>
    <row r="50" spans="2:7" ht="12.75" customHeight="1" x14ac:dyDescent="0.2">
      <c r="B50" s="370"/>
      <c r="C50" s="371"/>
      <c r="D50" s="371"/>
      <c r="E50" s="371"/>
      <c r="F50" s="371"/>
      <c r="G50" s="371"/>
    </row>
    <row r="51" spans="2:7" ht="12.75" customHeight="1" x14ac:dyDescent="0.2"/>
  </sheetData>
  <mergeCells count="17">
    <mergeCell ref="B45:G45"/>
    <mergeCell ref="B48:G48"/>
    <mergeCell ref="B49:G49"/>
    <mergeCell ref="E11:F11"/>
    <mergeCell ref="D36:F36"/>
    <mergeCell ref="B44:G44"/>
    <mergeCell ref="D24:E24"/>
    <mergeCell ref="D25:E25"/>
    <mergeCell ref="E31:F31"/>
    <mergeCell ref="C4:C7"/>
    <mergeCell ref="D4:D7"/>
    <mergeCell ref="E4:E7"/>
    <mergeCell ref="F4:F7"/>
    <mergeCell ref="B1:C1"/>
    <mergeCell ref="F1:G1"/>
    <mergeCell ref="B2:G2"/>
    <mergeCell ref="C3:F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X50"/>
  <sheetViews>
    <sheetView zoomScaleNormal="100" workbookViewId="0">
      <selection activeCell="AW10" sqref="AW10"/>
    </sheetView>
  </sheetViews>
  <sheetFormatPr defaultRowHeight="11.25" x14ac:dyDescent="0.2"/>
  <cols>
    <col min="1" max="1" width="2.7109375" style="2" customWidth="1"/>
    <col min="2" max="2" width="4.85546875" style="2" customWidth="1"/>
    <col min="3" max="3" width="7.7109375" style="2" hidden="1" customWidth="1"/>
    <col min="4" max="4" width="7.140625" style="2" hidden="1" customWidth="1"/>
    <col min="5" max="5" width="6.85546875" style="2" customWidth="1"/>
    <col min="6" max="6" width="6.85546875" style="2" hidden="1" customWidth="1"/>
    <col min="7" max="7" width="6.7109375" style="2" hidden="1" customWidth="1"/>
    <col min="8" max="8" width="6.42578125" style="2" hidden="1" customWidth="1"/>
    <col min="9" max="10" width="6.7109375" style="2" hidden="1" customWidth="1"/>
    <col min="11" max="11" width="6.85546875" style="2" customWidth="1"/>
    <col min="12" max="15" width="6.85546875" style="2" hidden="1" customWidth="1"/>
    <col min="16" max="16" width="6.85546875" style="2" customWidth="1"/>
    <col min="17" max="19" width="6.85546875" style="2" hidden="1" customWidth="1"/>
    <col min="20" max="20" width="6.7109375" style="2" hidden="1" customWidth="1"/>
    <col min="21" max="21" width="6.7109375" style="2" customWidth="1"/>
    <col min="22" max="25" width="6.7109375" style="2" hidden="1" customWidth="1"/>
    <col min="26" max="26" width="7.140625" style="2" customWidth="1"/>
    <col min="27" max="27" width="6.5703125" style="284" hidden="1" customWidth="1"/>
    <col min="28" max="28" width="6.85546875" style="2" hidden="1" customWidth="1"/>
    <col min="29" max="30" width="6.7109375" style="284" customWidth="1"/>
    <col min="31" max="31" width="6.85546875" style="2" hidden="1" customWidth="1"/>
    <col min="32" max="32" width="7" style="2" hidden="1" customWidth="1"/>
    <col min="33" max="38" width="9.85546875" style="2" hidden="1" customWidth="1"/>
    <col min="39" max="39" width="9.28515625" style="2" hidden="1" customWidth="1"/>
    <col min="40" max="40" width="7.42578125" style="2" hidden="1" customWidth="1"/>
    <col min="41" max="41" width="8.85546875" style="284" hidden="1" customWidth="1"/>
    <col min="42" max="42" width="7.7109375" style="284" hidden="1" customWidth="1"/>
    <col min="43" max="43" width="7.7109375" style="284" customWidth="1"/>
    <col min="44" max="44" width="9" style="285" customWidth="1"/>
    <col min="45" max="45" width="5.42578125" style="2" customWidth="1"/>
    <col min="46" max="16384" width="9.140625" style="2"/>
  </cols>
  <sheetData>
    <row r="1" spans="1:45" ht="14.25" customHeight="1" x14ac:dyDescent="0.25">
      <c r="B1" s="484"/>
      <c r="C1" s="484"/>
      <c r="D1" s="24"/>
      <c r="E1" s="22"/>
      <c r="F1" s="22"/>
      <c r="G1" s="22"/>
      <c r="H1" s="22"/>
      <c r="I1" s="22"/>
      <c r="J1" s="22"/>
      <c r="K1" s="22"/>
      <c r="L1" s="22"/>
      <c r="AH1" s="17"/>
      <c r="AI1" s="17"/>
      <c r="AJ1" s="17"/>
      <c r="AK1" s="17"/>
      <c r="AL1" s="17"/>
      <c r="AM1" s="17"/>
      <c r="AN1" s="17"/>
      <c r="AO1" s="286"/>
      <c r="AP1" s="286"/>
      <c r="AQ1" s="286"/>
      <c r="AR1" s="365" t="s">
        <v>83</v>
      </c>
      <c r="AS1" s="17"/>
    </row>
    <row r="2" spans="1:45" ht="30" customHeight="1" x14ac:dyDescent="0.2">
      <c r="B2" s="507" t="s">
        <v>137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132"/>
    </row>
    <row r="3" spans="1:45" s="389" customFormat="1" ht="12.75" customHeight="1" x14ac:dyDescent="0.2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1" t="s">
        <v>4</v>
      </c>
      <c r="AR3" s="393"/>
      <c r="AS3" s="392"/>
    </row>
    <row r="4" spans="1:45" s="389" customFormat="1" ht="12.75" customHeight="1" x14ac:dyDescent="0.2">
      <c r="B4" s="390"/>
      <c r="C4" s="391"/>
      <c r="D4" s="391"/>
      <c r="E4" s="119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509" t="s">
        <v>176</v>
      </c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10"/>
      <c r="AS4" s="361"/>
    </row>
    <row r="5" spans="1:45" ht="23.25" customHeight="1" x14ac:dyDescent="0.2">
      <c r="B5" s="129"/>
      <c r="C5" s="119">
        <v>1970</v>
      </c>
      <c r="D5" s="120">
        <v>1980</v>
      </c>
      <c r="E5" s="360">
        <v>1990</v>
      </c>
      <c r="F5" s="360">
        <v>1995</v>
      </c>
      <c r="G5" s="360">
        <v>1996</v>
      </c>
      <c r="H5" s="360">
        <v>1997</v>
      </c>
      <c r="I5" s="360">
        <v>1998</v>
      </c>
      <c r="J5" s="360">
        <v>1999</v>
      </c>
      <c r="K5" s="360">
        <v>2000</v>
      </c>
      <c r="L5" s="360">
        <v>2001</v>
      </c>
      <c r="M5" s="360">
        <v>2002</v>
      </c>
      <c r="N5" s="360">
        <v>2003</v>
      </c>
      <c r="O5" s="360">
        <v>2004</v>
      </c>
      <c r="P5" s="360">
        <v>2005</v>
      </c>
      <c r="Q5" s="360">
        <v>2006</v>
      </c>
      <c r="R5" s="360">
        <v>2007</v>
      </c>
      <c r="S5" s="360">
        <v>2008</v>
      </c>
      <c r="T5" s="360">
        <v>2009</v>
      </c>
      <c r="U5" s="360">
        <v>2010</v>
      </c>
      <c r="V5" s="360">
        <v>2011</v>
      </c>
      <c r="W5" s="360">
        <v>2012</v>
      </c>
      <c r="X5" s="360">
        <v>2013</v>
      </c>
      <c r="Y5" s="360">
        <v>2014</v>
      </c>
      <c r="Z5" s="360">
        <v>2015</v>
      </c>
      <c r="AA5" s="360">
        <v>2016</v>
      </c>
      <c r="AB5" s="360">
        <v>2017</v>
      </c>
      <c r="AC5" s="360">
        <v>2018</v>
      </c>
      <c r="AD5" s="362">
        <v>2019</v>
      </c>
      <c r="AE5" s="360">
        <v>2007</v>
      </c>
      <c r="AF5" s="360">
        <v>2008</v>
      </c>
      <c r="AG5" s="360">
        <v>2009</v>
      </c>
      <c r="AH5" s="360">
        <v>2010</v>
      </c>
      <c r="AI5" s="360">
        <v>2011</v>
      </c>
      <c r="AJ5" s="360">
        <v>2012</v>
      </c>
      <c r="AK5" s="360">
        <v>2013</v>
      </c>
      <c r="AL5" s="360">
        <v>2014</v>
      </c>
      <c r="AM5" s="360">
        <v>2015</v>
      </c>
      <c r="AN5" s="360">
        <v>2016</v>
      </c>
      <c r="AO5" s="360">
        <v>2017</v>
      </c>
      <c r="AP5" s="360">
        <v>2018</v>
      </c>
      <c r="AQ5" s="360">
        <v>2019</v>
      </c>
      <c r="AR5" s="465">
        <v>2019</v>
      </c>
      <c r="AS5" s="362"/>
    </row>
    <row r="6" spans="1:45" ht="12" customHeight="1" x14ac:dyDescent="0.2">
      <c r="B6" s="128"/>
      <c r="C6" s="121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428"/>
      <c r="AE6" s="360"/>
      <c r="AF6" s="360"/>
      <c r="AG6" s="360"/>
      <c r="AH6" s="463"/>
      <c r="AI6" s="360"/>
      <c r="AJ6" s="360"/>
      <c r="AK6" s="360"/>
      <c r="AL6" s="360"/>
      <c r="AM6" s="360"/>
      <c r="AN6" s="360"/>
      <c r="AO6" s="360"/>
      <c r="AP6" s="360"/>
      <c r="AQ6" s="463"/>
      <c r="AR6" s="464" t="s">
        <v>177</v>
      </c>
      <c r="AS6" s="362"/>
    </row>
    <row r="7" spans="1:45" s="284" customFormat="1" ht="12" customHeight="1" x14ac:dyDescent="0.2">
      <c r="B7" s="37" t="s">
        <v>106</v>
      </c>
      <c r="C7" s="319">
        <f>C8-C36</f>
        <v>228939</v>
      </c>
      <c r="D7" s="319">
        <f t="shared" ref="D7:E7" si="0">D8-D36</f>
        <v>222599</v>
      </c>
      <c r="E7" s="319">
        <f t="shared" si="0"/>
        <v>220757</v>
      </c>
      <c r="F7" s="319">
        <f>SUM(F9:F35)</f>
        <v>212367</v>
      </c>
      <c r="G7" s="319">
        <f t="shared" ref="G7:AD7" si="1">SUM(G9:G35)</f>
        <v>203561</v>
      </c>
      <c r="H7" s="319">
        <f t="shared" si="1"/>
        <v>201061</v>
      </c>
      <c r="I7" s="319">
        <f t="shared" si="1"/>
        <v>199814</v>
      </c>
      <c r="J7" s="319">
        <f t="shared" si="1"/>
        <v>198870</v>
      </c>
      <c r="K7" s="319">
        <f t="shared" si="1"/>
        <v>205664</v>
      </c>
      <c r="L7" s="319">
        <f t="shared" si="1"/>
        <v>202390</v>
      </c>
      <c r="M7" s="319">
        <f t="shared" si="1"/>
        <v>202808</v>
      </c>
      <c r="N7" s="319">
        <f t="shared" si="1"/>
        <v>203693</v>
      </c>
      <c r="O7" s="319">
        <f t="shared" si="1"/>
        <v>201346</v>
      </c>
      <c r="P7" s="319">
        <f t="shared" si="1"/>
        <v>200500</v>
      </c>
      <c r="Q7" s="319">
        <f t="shared" si="1"/>
        <v>200601</v>
      </c>
      <c r="R7" s="319">
        <f t="shared" si="1"/>
        <v>204703</v>
      </c>
      <c r="S7" s="319">
        <f t="shared" si="1"/>
        <v>204881</v>
      </c>
      <c r="T7" s="319">
        <f t="shared" si="1"/>
        <v>204465</v>
      </c>
      <c r="U7" s="319">
        <f t="shared" si="1"/>
        <v>203847</v>
      </c>
      <c r="V7" s="319">
        <f t="shared" si="1"/>
        <v>204179</v>
      </c>
      <c r="W7" s="319">
        <f t="shared" si="1"/>
        <v>203869</v>
      </c>
      <c r="X7" s="319">
        <f t="shared" si="1"/>
        <v>203246</v>
      </c>
      <c r="Y7" s="319">
        <f t="shared" si="1"/>
        <v>202278</v>
      </c>
      <c r="Z7" s="319">
        <f t="shared" si="1"/>
        <v>201396</v>
      </c>
      <c r="AA7" s="319">
        <f t="shared" si="1"/>
        <v>200828</v>
      </c>
      <c r="AB7" s="319">
        <f t="shared" si="1"/>
        <v>200915.7</v>
      </c>
      <c r="AC7" s="319">
        <f t="shared" si="1"/>
        <v>200584</v>
      </c>
      <c r="AD7" s="364">
        <f t="shared" si="1"/>
        <v>200161</v>
      </c>
      <c r="AE7" s="307">
        <f>AE8-AE36</f>
        <v>105649.5</v>
      </c>
      <c r="AF7" s="307">
        <f t="shared" ref="AF7:AQ7" si="2">AF8-AF36</f>
        <v>106457.5</v>
      </c>
      <c r="AG7" s="307">
        <f t="shared" si="2"/>
        <v>106872.5</v>
      </c>
      <c r="AH7" s="307">
        <f t="shared" si="2"/>
        <v>107782.5</v>
      </c>
      <c r="AI7" s="307">
        <f t="shared" si="2"/>
        <v>108958.5</v>
      </c>
      <c r="AJ7" s="307">
        <f t="shared" si="2"/>
        <v>109507.5</v>
      </c>
      <c r="AK7" s="307">
        <f t="shared" si="2"/>
        <v>109673.06</v>
      </c>
      <c r="AL7" s="307">
        <f t="shared" si="2"/>
        <v>110048.57</v>
      </c>
      <c r="AM7" s="307">
        <f t="shared" si="2"/>
        <v>110759.372</v>
      </c>
      <c r="AN7" s="307">
        <f t="shared" si="2"/>
        <v>111165.5</v>
      </c>
      <c r="AO7" s="307">
        <f t="shared" si="2"/>
        <v>111473.126</v>
      </c>
      <c r="AP7" s="307">
        <f>AP8-AP36</f>
        <v>111593.5</v>
      </c>
      <c r="AQ7" s="307">
        <f t="shared" si="2"/>
        <v>112104</v>
      </c>
      <c r="AR7" s="418">
        <f>AQ7/AD7*100</f>
        <v>56.006914433880731</v>
      </c>
      <c r="AS7" s="273" t="s">
        <v>117</v>
      </c>
    </row>
    <row r="8" spans="1:45" ht="12.75" customHeight="1" x14ac:dyDescent="0.2">
      <c r="B8" s="37" t="s">
        <v>94</v>
      </c>
      <c r="C8" s="318">
        <f>13308+SUM(C9:C36)</f>
        <v>248269</v>
      </c>
      <c r="D8" s="319">
        <f>13131+SUM(D9:D36)</f>
        <v>240629</v>
      </c>
      <c r="E8" s="319">
        <f>13111+SUM(E9:E36)</f>
        <v>237671</v>
      </c>
      <c r="F8" s="319">
        <f>SUM(F9:F36)</f>
        <v>229436</v>
      </c>
      <c r="G8" s="319">
        <f t="shared" ref="G8:R8" si="3">SUM(G9:G36)</f>
        <v>220627</v>
      </c>
      <c r="H8" s="319">
        <f t="shared" si="3"/>
        <v>218237</v>
      </c>
      <c r="I8" s="319">
        <f t="shared" si="3"/>
        <v>216993</v>
      </c>
      <c r="J8" s="319">
        <f t="shared" si="3"/>
        <v>215934</v>
      </c>
      <c r="K8" s="319">
        <f t="shared" si="3"/>
        <v>222708</v>
      </c>
      <c r="L8" s="319">
        <f t="shared" si="3"/>
        <v>219442</v>
      </c>
      <c r="M8" s="319">
        <f t="shared" si="3"/>
        <v>219860</v>
      </c>
      <c r="N8" s="319">
        <f t="shared" si="3"/>
        <v>220745</v>
      </c>
      <c r="O8" s="319">
        <f t="shared" si="3"/>
        <v>217860</v>
      </c>
      <c r="P8" s="320">
        <f t="shared" si="3"/>
        <v>216708</v>
      </c>
      <c r="Q8" s="320">
        <f t="shared" si="3"/>
        <v>216794</v>
      </c>
      <c r="R8" s="321">
        <f t="shared" si="3"/>
        <v>220915</v>
      </c>
      <c r="S8" s="320">
        <f t="shared" ref="S8:Y8" si="4">SUM(S9:S36)</f>
        <v>221093</v>
      </c>
      <c r="T8" s="320">
        <f t="shared" si="4"/>
        <v>220616</v>
      </c>
      <c r="U8" s="320">
        <f t="shared" si="4"/>
        <v>220022</v>
      </c>
      <c r="V8" s="320">
        <f t="shared" si="4"/>
        <v>220587</v>
      </c>
      <c r="W8" s="320">
        <f t="shared" si="4"/>
        <v>220292</v>
      </c>
      <c r="X8" s="321">
        <f t="shared" si="4"/>
        <v>219669</v>
      </c>
      <c r="Y8" s="320">
        <f t="shared" si="4"/>
        <v>218487</v>
      </c>
      <c r="Z8" s="320">
        <f t="shared" ref="Z8" si="5">SUM(Z9:Z36)</f>
        <v>217605</v>
      </c>
      <c r="AA8" s="320">
        <f t="shared" ref="AA8:AD8" si="6">SUM(AA9:AA36)</f>
        <v>217081</v>
      </c>
      <c r="AB8" s="320">
        <f t="shared" si="6"/>
        <v>217235.7</v>
      </c>
      <c r="AC8" s="320">
        <f t="shared" si="6"/>
        <v>216878</v>
      </c>
      <c r="AD8" s="363">
        <f t="shared" si="6"/>
        <v>216507</v>
      </c>
      <c r="AE8" s="307">
        <f t="shared" ref="AE8:AG8" si="7">SUM(AE9:AE36)</f>
        <v>110962.5</v>
      </c>
      <c r="AF8" s="269">
        <f t="shared" si="7"/>
        <v>111775.5</v>
      </c>
      <c r="AG8" s="269">
        <f t="shared" si="7"/>
        <v>112179.5</v>
      </c>
      <c r="AH8" s="269">
        <f t="shared" ref="AH8:AO8" si="8">SUM(AH9:AH36)</f>
        <v>113102.5</v>
      </c>
      <c r="AI8" s="271">
        <f t="shared" si="8"/>
        <v>114551.5</v>
      </c>
      <c r="AJ8" s="271">
        <f t="shared" si="8"/>
        <v>115104.5</v>
      </c>
      <c r="AK8" s="272">
        <f t="shared" si="8"/>
        <v>115273.06</v>
      </c>
      <c r="AL8" s="269">
        <f t="shared" si="8"/>
        <v>115397.54000000001</v>
      </c>
      <c r="AM8" s="271">
        <f t="shared" si="8"/>
        <v>116140.76000000001</v>
      </c>
      <c r="AN8" s="307">
        <f t="shared" si="8"/>
        <v>116648.5</v>
      </c>
      <c r="AO8" s="307">
        <f t="shared" si="8"/>
        <v>117348.126</v>
      </c>
      <c r="AP8" s="307">
        <f>SUM(AP9:AP36)</f>
        <v>117718.5</v>
      </c>
      <c r="AQ8" s="307">
        <f>SUM(AQ9:AQ36)</f>
        <v>118262</v>
      </c>
      <c r="AR8" s="418">
        <f t="shared" ref="AR8:AR44" si="9">AQ8/AD8*100</f>
        <v>54.622714277136538</v>
      </c>
      <c r="AS8" s="273" t="s">
        <v>94</v>
      </c>
    </row>
    <row r="9" spans="1:45" ht="12.75" customHeight="1" x14ac:dyDescent="0.2">
      <c r="B9" s="8" t="s">
        <v>37</v>
      </c>
      <c r="C9" s="215">
        <v>4605</v>
      </c>
      <c r="D9" s="208">
        <v>3971</v>
      </c>
      <c r="E9" s="208">
        <v>3479</v>
      </c>
      <c r="F9" s="208">
        <v>3368</v>
      </c>
      <c r="G9" s="208">
        <v>3380</v>
      </c>
      <c r="H9" s="208">
        <v>3422</v>
      </c>
      <c r="I9" s="208">
        <v>3470</v>
      </c>
      <c r="J9" s="208">
        <v>3472</v>
      </c>
      <c r="K9" s="208">
        <v>3471</v>
      </c>
      <c r="L9" s="208">
        <v>3454</v>
      </c>
      <c r="M9" s="208">
        <v>3518</v>
      </c>
      <c r="N9" s="208">
        <v>3521</v>
      </c>
      <c r="O9" s="208">
        <v>3536</v>
      </c>
      <c r="P9" s="204">
        <v>3544</v>
      </c>
      <c r="Q9" s="208">
        <v>3500</v>
      </c>
      <c r="R9" s="204">
        <v>3374</v>
      </c>
      <c r="S9" s="204">
        <v>3513</v>
      </c>
      <c r="T9" s="204">
        <v>3578</v>
      </c>
      <c r="U9" s="204">
        <v>3582</v>
      </c>
      <c r="V9" s="204">
        <v>3582</v>
      </c>
      <c r="W9" s="204">
        <v>3582</v>
      </c>
      <c r="X9" s="204">
        <v>3595</v>
      </c>
      <c r="Y9" s="204">
        <v>3631</v>
      </c>
      <c r="Z9" s="204">
        <v>3607</v>
      </c>
      <c r="AA9" s="289">
        <v>3607</v>
      </c>
      <c r="AB9" s="204">
        <v>3605</v>
      </c>
      <c r="AC9" s="289">
        <f>3602</f>
        <v>3602</v>
      </c>
      <c r="AD9" s="251">
        <v>3602</v>
      </c>
      <c r="AE9" s="300">
        <v>3002</v>
      </c>
      <c r="AF9" s="212">
        <v>2955</v>
      </c>
      <c r="AG9" s="212">
        <v>3005</v>
      </c>
      <c r="AH9" s="212">
        <v>3064</v>
      </c>
      <c r="AI9" s="213">
        <v>3064</v>
      </c>
      <c r="AJ9" s="213">
        <v>3064</v>
      </c>
      <c r="AK9" s="213">
        <v>3064</v>
      </c>
      <c r="AL9" s="212">
        <f>Y9*85/100</f>
        <v>3086.35</v>
      </c>
      <c r="AM9" s="213">
        <v>3086</v>
      </c>
      <c r="AN9" s="213">
        <v>3102</v>
      </c>
      <c r="AO9" s="213">
        <v>3102</v>
      </c>
      <c r="AP9" s="213">
        <v>3102</v>
      </c>
      <c r="AQ9" s="300">
        <v>3112</v>
      </c>
      <c r="AR9" s="419">
        <f t="shared" si="9"/>
        <v>86.396446418656296</v>
      </c>
      <c r="AS9" s="9" t="s">
        <v>37</v>
      </c>
    </row>
    <row r="10" spans="1:45" ht="12.75" customHeight="1" x14ac:dyDescent="0.2">
      <c r="B10" s="38" t="s">
        <v>20</v>
      </c>
      <c r="C10" s="214">
        <v>4196</v>
      </c>
      <c r="D10" s="202">
        <v>4341</v>
      </c>
      <c r="E10" s="202">
        <v>4299</v>
      </c>
      <c r="F10" s="202">
        <v>4294</v>
      </c>
      <c r="G10" s="202">
        <v>4293</v>
      </c>
      <c r="H10" s="202">
        <v>4292</v>
      </c>
      <c r="I10" s="202">
        <v>4090</v>
      </c>
      <c r="J10" s="202">
        <v>4090</v>
      </c>
      <c r="K10" s="202">
        <v>4320</v>
      </c>
      <c r="L10" s="202">
        <v>4320</v>
      </c>
      <c r="M10" s="202">
        <v>4318</v>
      </c>
      <c r="N10" s="159">
        <v>4316</v>
      </c>
      <c r="O10" s="159">
        <v>4259</v>
      </c>
      <c r="P10" s="159">
        <v>4154</v>
      </c>
      <c r="Q10" s="159">
        <v>4146</v>
      </c>
      <c r="R10" s="159">
        <v>4143</v>
      </c>
      <c r="S10" s="159">
        <v>4144</v>
      </c>
      <c r="T10" s="159">
        <v>4150</v>
      </c>
      <c r="U10" s="159">
        <v>4097</v>
      </c>
      <c r="V10" s="159">
        <v>4072</v>
      </c>
      <c r="W10" s="159">
        <v>4070</v>
      </c>
      <c r="X10" s="159">
        <v>4032</v>
      </c>
      <c r="Y10" s="159">
        <v>4023</v>
      </c>
      <c r="Z10" s="159">
        <v>4019</v>
      </c>
      <c r="AA10" s="291">
        <v>4029</v>
      </c>
      <c r="AB10" s="159">
        <v>4030</v>
      </c>
      <c r="AC10" s="291">
        <v>4030</v>
      </c>
      <c r="AD10" s="196">
        <v>4030</v>
      </c>
      <c r="AE10" s="298">
        <v>2806</v>
      </c>
      <c r="AF10" s="202">
        <v>2827</v>
      </c>
      <c r="AG10" s="202">
        <v>2833</v>
      </c>
      <c r="AH10" s="202">
        <v>2785</v>
      </c>
      <c r="AI10" s="202">
        <v>2862</v>
      </c>
      <c r="AJ10" s="202">
        <v>2862</v>
      </c>
      <c r="AK10" s="202">
        <v>2869</v>
      </c>
      <c r="AL10" s="202">
        <v>2861</v>
      </c>
      <c r="AM10" s="298">
        <v>2859</v>
      </c>
      <c r="AN10" s="298">
        <v>2868</v>
      </c>
      <c r="AO10" s="298">
        <v>2870</v>
      </c>
      <c r="AP10" s="298">
        <v>2870</v>
      </c>
      <c r="AQ10" s="298">
        <v>2870</v>
      </c>
      <c r="AR10" s="420">
        <f t="shared" si="9"/>
        <v>71.215880893300238</v>
      </c>
      <c r="AS10" s="38" t="s">
        <v>20</v>
      </c>
    </row>
    <row r="11" spans="1:45" ht="12.75" customHeight="1" x14ac:dyDescent="0.2">
      <c r="A11" s="7"/>
      <c r="B11" s="9" t="s">
        <v>22</v>
      </c>
      <c r="C11" s="215"/>
      <c r="D11" s="208"/>
      <c r="E11" s="208"/>
      <c r="F11" s="208">
        <v>9430</v>
      </c>
      <c r="G11" s="208">
        <v>9430</v>
      </c>
      <c r="H11" s="208">
        <v>9430</v>
      </c>
      <c r="I11" s="208">
        <v>9430</v>
      </c>
      <c r="J11" s="208">
        <v>9444</v>
      </c>
      <c r="K11" s="208">
        <v>9444</v>
      </c>
      <c r="L11" s="208">
        <v>9523</v>
      </c>
      <c r="M11" s="208">
        <v>9600</v>
      </c>
      <c r="N11" s="208">
        <v>9602</v>
      </c>
      <c r="O11" s="208">
        <v>9612</v>
      </c>
      <c r="P11" s="204">
        <v>9614</v>
      </c>
      <c r="Q11" s="208">
        <v>9597</v>
      </c>
      <c r="R11" s="204">
        <v>9588</v>
      </c>
      <c r="S11" s="204">
        <v>9486</v>
      </c>
      <c r="T11" s="204">
        <v>9477</v>
      </c>
      <c r="U11" s="204">
        <v>9468</v>
      </c>
      <c r="V11" s="204">
        <v>9470</v>
      </c>
      <c r="W11" s="204">
        <v>9469</v>
      </c>
      <c r="X11" s="204">
        <v>9459</v>
      </c>
      <c r="Y11" s="204">
        <v>9456</v>
      </c>
      <c r="Z11" s="204">
        <v>9466</v>
      </c>
      <c r="AA11" s="289">
        <v>9463</v>
      </c>
      <c r="AB11" s="204">
        <v>9408</v>
      </c>
      <c r="AC11" s="289">
        <v>9406</v>
      </c>
      <c r="AD11" s="251">
        <v>9396</v>
      </c>
      <c r="AE11" s="300">
        <v>3060</v>
      </c>
      <c r="AF11" s="212">
        <v>3078</v>
      </c>
      <c r="AG11" s="212">
        <v>3152</v>
      </c>
      <c r="AH11" s="212">
        <v>3210</v>
      </c>
      <c r="AI11" s="212">
        <v>3208</v>
      </c>
      <c r="AJ11" s="212">
        <v>3217</v>
      </c>
      <c r="AK11" s="212">
        <v>3216</v>
      </c>
      <c r="AL11" s="212">
        <v>3215</v>
      </c>
      <c r="AM11" s="300">
        <v>3217</v>
      </c>
      <c r="AN11" s="300">
        <v>3217</v>
      </c>
      <c r="AO11" s="300">
        <v>3218</v>
      </c>
      <c r="AP11" s="300">
        <v>3216</v>
      </c>
      <c r="AQ11" s="300">
        <v>3213</v>
      </c>
      <c r="AR11" s="419">
        <f t="shared" si="9"/>
        <v>34.195402298850574</v>
      </c>
      <c r="AS11" s="9" t="s">
        <v>22</v>
      </c>
    </row>
    <row r="12" spans="1:45" ht="12.75" customHeight="1" x14ac:dyDescent="0.2">
      <c r="A12" s="7"/>
      <c r="B12" s="38" t="s">
        <v>33</v>
      </c>
      <c r="C12" s="214">
        <v>2352</v>
      </c>
      <c r="D12" s="202">
        <v>2015</v>
      </c>
      <c r="E12" s="202">
        <v>2838</v>
      </c>
      <c r="F12" s="202">
        <v>2863</v>
      </c>
      <c r="G12" s="202">
        <v>2863</v>
      </c>
      <c r="H12" s="202">
        <v>2762</v>
      </c>
      <c r="I12" s="202">
        <v>2779</v>
      </c>
      <c r="J12" s="202">
        <v>2775</v>
      </c>
      <c r="K12" s="202">
        <v>2787</v>
      </c>
      <c r="L12" s="202">
        <v>2787</v>
      </c>
      <c r="M12" s="202">
        <v>2787</v>
      </c>
      <c r="N12" s="202">
        <v>2787</v>
      </c>
      <c r="O12" s="202">
        <v>2646</v>
      </c>
      <c r="P12" s="159">
        <v>2646</v>
      </c>
      <c r="Q12" s="159">
        <v>2646</v>
      </c>
      <c r="R12" s="159">
        <v>2606</v>
      </c>
      <c r="S12" s="159">
        <v>2606</v>
      </c>
      <c r="T12" s="159">
        <v>2606</v>
      </c>
      <c r="U12" s="159">
        <v>2606</v>
      </c>
      <c r="V12" s="159">
        <v>2615</v>
      </c>
      <c r="W12" s="159">
        <v>2615</v>
      </c>
      <c r="X12" s="159">
        <v>2615</v>
      </c>
      <c r="Y12" s="159">
        <f>2633-21</f>
        <v>2612</v>
      </c>
      <c r="Z12" s="159">
        <f>2573-21</f>
        <v>2552</v>
      </c>
      <c r="AA12" s="291">
        <f>2560-21</f>
        <v>2539</v>
      </c>
      <c r="AB12" s="159">
        <f>2508-21</f>
        <v>2487</v>
      </c>
      <c r="AC12" s="291">
        <f>2540-21</f>
        <v>2519</v>
      </c>
      <c r="AD12" s="196">
        <f>2682-36</f>
        <v>2646</v>
      </c>
      <c r="AE12" s="298">
        <v>619</v>
      </c>
      <c r="AF12" s="202">
        <v>621</v>
      </c>
      <c r="AG12" s="202">
        <v>621</v>
      </c>
      <c r="AH12" s="202">
        <f>642-21</f>
        <v>621</v>
      </c>
      <c r="AI12" s="202">
        <v>621</v>
      </c>
      <c r="AJ12" s="202">
        <f>642-21</f>
        <v>621</v>
      </c>
      <c r="AK12" s="202">
        <v>621</v>
      </c>
      <c r="AL12" s="202">
        <v>621</v>
      </c>
      <c r="AM12" s="298">
        <v>621</v>
      </c>
      <c r="AN12" s="298">
        <v>621</v>
      </c>
      <c r="AO12" s="298">
        <f>653-21</f>
        <v>632</v>
      </c>
      <c r="AP12" s="298">
        <f>679-21</f>
        <v>658</v>
      </c>
      <c r="AQ12" s="298">
        <f>876-21</f>
        <v>855</v>
      </c>
      <c r="AR12" s="420">
        <f t="shared" si="9"/>
        <v>32.312925170068027</v>
      </c>
      <c r="AS12" s="38" t="s">
        <v>33</v>
      </c>
    </row>
    <row r="13" spans="1:45" ht="12.75" customHeight="1" x14ac:dyDescent="0.2">
      <c r="A13" s="7"/>
      <c r="B13" s="9" t="s">
        <v>38</v>
      </c>
      <c r="C13" s="215">
        <v>43777</v>
      </c>
      <c r="D13" s="208">
        <v>42765</v>
      </c>
      <c r="E13" s="208">
        <v>40981</v>
      </c>
      <c r="F13" s="208">
        <v>41718</v>
      </c>
      <c r="G13" s="208">
        <v>40826</v>
      </c>
      <c r="H13" s="208">
        <v>38450</v>
      </c>
      <c r="I13" s="208">
        <v>38126</v>
      </c>
      <c r="J13" s="208">
        <v>37525</v>
      </c>
      <c r="K13" s="208">
        <v>36588</v>
      </c>
      <c r="L13" s="208">
        <v>35986</v>
      </c>
      <c r="M13" s="208">
        <v>35814</v>
      </c>
      <c r="N13" s="208">
        <v>36054</v>
      </c>
      <c r="O13" s="208">
        <v>34732</v>
      </c>
      <c r="P13" s="204">
        <v>34221</v>
      </c>
      <c r="Q13" s="208">
        <v>34122</v>
      </c>
      <c r="R13" s="257">
        <v>38005</v>
      </c>
      <c r="S13" s="204">
        <v>37798</v>
      </c>
      <c r="T13" s="204">
        <v>37934</v>
      </c>
      <c r="U13" s="204">
        <v>37679</v>
      </c>
      <c r="V13" s="204">
        <v>37846</v>
      </c>
      <c r="W13" s="204">
        <v>37941</v>
      </c>
      <c r="X13" s="257">
        <v>38703</v>
      </c>
      <c r="Y13" s="204">
        <v>38836</v>
      </c>
      <c r="Z13" s="204">
        <v>38828</v>
      </c>
      <c r="AA13" s="289">
        <v>38990</v>
      </c>
      <c r="AB13" s="289">
        <v>39219</v>
      </c>
      <c r="AC13" s="289">
        <v>39299</v>
      </c>
      <c r="AD13" s="251">
        <v>39379</v>
      </c>
      <c r="AE13" s="300">
        <v>19544</v>
      </c>
      <c r="AF13" s="212">
        <v>19645</v>
      </c>
      <c r="AG13" s="212">
        <v>19701</v>
      </c>
      <c r="AH13" s="212">
        <v>19819</v>
      </c>
      <c r="AI13" s="212">
        <v>19826</v>
      </c>
      <c r="AJ13" s="212">
        <v>19830</v>
      </c>
      <c r="AK13" s="258">
        <f>X13*52/100</f>
        <v>20125.560000000001</v>
      </c>
      <c r="AL13" s="212">
        <f>Y13*52/100</f>
        <v>20194.72</v>
      </c>
      <c r="AM13" s="300">
        <f>Z13*52.4/100</f>
        <v>20345.871999999999</v>
      </c>
      <c r="AN13" s="300">
        <v>20585</v>
      </c>
      <c r="AO13" s="300">
        <v>20736.425999999999</v>
      </c>
      <c r="AP13" s="300">
        <v>20783</v>
      </c>
      <c r="AQ13" s="300">
        <v>20920</v>
      </c>
      <c r="AR13" s="421">
        <f t="shared" si="9"/>
        <v>53.124761928946896</v>
      </c>
      <c r="AS13" s="309" t="s">
        <v>38</v>
      </c>
    </row>
    <row r="14" spans="1:45" ht="12.75" customHeight="1" x14ac:dyDescent="0.2">
      <c r="A14" s="7"/>
      <c r="B14" s="38" t="s">
        <v>23</v>
      </c>
      <c r="C14" s="214">
        <v>1227</v>
      </c>
      <c r="D14" s="202">
        <v>993</v>
      </c>
      <c r="E14" s="202">
        <v>1026</v>
      </c>
      <c r="F14" s="202">
        <v>1021</v>
      </c>
      <c r="G14" s="202">
        <v>1021</v>
      </c>
      <c r="H14" s="202">
        <v>966</v>
      </c>
      <c r="I14" s="202">
        <v>966</v>
      </c>
      <c r="J14" s="202">
        <v>968</v>
      </c>
      <c r="K14" s="202">
        <v>968</v>
      </c>
      <c r="L14" s="202">
        <v>967</v>
      </c>
      <c r="M14" s="202">
        <v>963</v>
      </c>
      <c r="N14" s="202">
        <v>967</v>
      </c>
      <c r="O14" s="202">
        <v>971</v>
      </c>
      <c r="P14" s="159">
        <v>968</v>
      </c>
      <c r="Q14" s="202">
        <v>968</v>
      </c>
      <c r="R14" s="159">
        <v>816</v>
      </c>
      <c r="S14" s="159">
        <v>919</v>
      </c>
      <c r="T14" s="159">
        <v>919</v>
      </c>
      <c r="U14" s="159">
        <v>919</v>
      </c>
      <c r="V14" s="159">
        <v>918</v>
      </c>
      <c r="W14" s="159">
        <v>918</v>
      </c>
      <c r="X14" s="159">
        <v>918</v>
      </c>
      <c r="Y14" s="159">
        <v>918</v>
      </c>
      <c r="Z14" s="159">
        <v>918</v>
      </c>
      <c r="AA14" s="291">
        <v>918</v>
      </c>
      <c r="AB14" s="159">
        <v>1033</v>
      </c>
      <c r="AC14" s="291">
        <v>1033</v>
      </c>
      <c r="AD14" s="196">
        <v>1033</v>
      </c>
      <c r="AE14" s="298">
        <v>131</v>
      </c>
      <c r="AF14" s="202">
        <v>131</v>
      </c>
      <c r="AG14" s="202">
        <v>132</v>
      </c>
      <c r="AH14" s="202">
        <v>132</v>
      </c>
      <c r="AI14" s="202">
        <v>132</v>
      </c>
      <c r="AJ14" s="202">
        <v>132</v>
      </c>
      <c r="AK14" s="202">
        <v>132</v>
      </c>
      <c r="AL14" s="202">
        <v>132</v>
      </c>
      <c r="AM14" s="298">
        <v>132</v>
      </c>
      <c r="AN14" s="298">
        <v>132</v>
      </c>
      <c r="AO14" s="298">
        <v>132</v>
      </c>
      <c r="AP14" s="298">
        <v>132</v>
      </c>
      <c r="AQ14" s="298">
        <v>138</v>
      </c>
      <c r="AR14" s="420">
        <f t="shared" si="9"/>
        <v>13.359148112294289</v>
      </c>
      <c r="AS14" s="38" t="s">
        <v>23</v>
      </c>
    </row>
    <row r="15" spans="1:45" ht="12.75" customHeight="1" x14ac:dyDescent="0.2">
      <c r="A15" s="7"/>
      <c r="B15" s="9" t="s">
        <v>41</v>
      </c>
      <c r="C15" s="215">
        <v>2189</v>
      </c>
      <c r="D15" s="208">
        <v>1987</v>
      </c>
      <c r="E15" s="208">
        <v>1944</v>
      </c>
      <c r="F15" s="208">
        <v>1954</v>
      </c>
      <c r="G15" s="208">
        <v>1954</v>
      </c>
      <c r="H15" s="208">
        <v>1945</v>
      </c>
      <c r="I15" s="208">
        <v>1909</v>
      </c>
      <c r="J15" s="208">
        <v>1909</v>
      </c>
      <c r="K15" s="208">
        <v>1919</v>
      </c>
      <c r="L15" s="208">
        <v>1919</v>
      </c>
      <c r="M15" s="208">
        <v>1919</v>
      </c>
      <c r="N15" s="208">
        <v>1919</v>
      </c>
      <c r="O15" s="208">
        <v>1919</v>
      </c>
      <c r="P15" s="204">
        <v>1919</v>
      </c>
      <c r="Q15" s="208">
        <v>1919</v>
      </c>
      <c r="R15" s="257">
        <v>1894</v>
      </c>
      <c r="S15" s="204">
        <v>1894</v>
      </c>
      <c r="T15" s="204">
        <v>1894</v>
      </c>
      <c r="U15" s="204">
        <v>1894</v>
      </c>
      <c r="V15" s="204">
        <v>1894</v>
      </c>
      <c r="W15" s="204">
        <v>1894</v>
      </c>
      <c r="X15" s="204">
        <v>1894</v>
      </c>
      <c r="Y15" s="204">
        <v>1894</v>
      </c>
      <c r="Z15" s="204">
        <v>1894</v>
      </c>
      <c r="AA15" s="289">
        <v>1894</v>
      </c>
      <c r="AB15" s="289">
        <v>1894</v>
      </c>
      <c r="AC15" s="289">
        <v>2045</v>
      </c>
      <c r="AD15" s="251">
        <v>2045</v>
      </c>
      <c r="AE15" s="300">
        <v>107.5</v>
      </c>
      <c r="AF15" s="300">
        <v>107.5</v>
      </c>
      <c r="AG15" s="300">
        <v>107.5</v>
      </c>
      <c r="AH15" s="300">
        <v>107.5</v>
      </c>
      <c r="AI15" s="300">
        <v>107.5</v>
      </c>
      <c r="AJ15" s="212">
        <v>107.5</v>
      </c>
      <c r="AK15" s="300">
        <v>107.5</v>
      </c>
      <c r="AL15" s="300">
        <v>107.5</v>
      </c>
      <c r="AM15" s="300">
        <v>107.5</v>
      </c>
      <c r="AN15" s="213">
        <v>107.5</v>
      </c>
      <c r="AO15" s="300">
        <v>107.5</v>
      </c>
      <c r="AP15" s="300">
        <v>107.5</v>
      </c>
      <c r="AQ15" s="466">
        <v>108</v>
      </c>
      <c r="AR15" s="421">
        <f t="shared" si="9"/>
        <v>5.2811735941320288</v>
      </c>
      <c r="AS15" s="309" t="s">
        <v>41</v>
      </c>
    </row>
    <row r="16" spans="1:45" ht="12.75" customHeight="1" x14ac:dyDescent="0.2">
      <c r="A16" s="7"/>
      <c r="B16" s="38" t="s">
        <v>34</v>
      </c>
      <c r="C16" s="214">
        <v>2602</v>
      </c>
      <c r="D16" s="202">
        <v>2461</v>
      </c>
      <c r="E16" s="202">
        <v>2484</v>
      </c>
      <c r="F16" s="202">
        <v>2474</v>
      </c>
      <c r="G16" s="202">
        <v>2474</v>
      </c>
      <c r="H16" s="202">
        <v>2503</v>
      </c>
      <c r="I16" s="202">
        <v>2299</v>
      </c>
      <c r="J16" s="202">
        <v>2299</v>
      </c>
      <c r="K16" s="202">
        <v>2385</v>
      </c>
      <c r="L16" s="202">
        <v>2377</v>
      </c>
      <c r="M16" s="202">
        <v>2383</v>
      </c>
      <c r="N16" s="202">
        <v>2414</v>
      </c>
      <c r="O16" s="202">
        <v>2449</v>
      </c>
      <c r="P16" s="159">
        <v>2576</v>
      </c>
      <c r="Q16" s="202">
        <v>2509</v>
      </c>
      <c r="R16" s="159">
        <v>2551</v>
      </c>
      <c r="S16" s="159">
        <v>2552</v>
      </c>
      <c r="T16" s="159">
        <v>2552</v>
      </c>
      <c r="U16" s="159">
        <v>2552</v>
      </c>
      <c r="V16" s="159">
        <v>2554</v>
      </c>
      <c r="W16" s="159">
        <v>2554</v>
      </c>
      <c r="X16" s="159">
        <v>2265</v>
      </c>
      <c r="Y16" s="159">
        <v>2238</v>
      </c>
      <c r="Z16" s="159">
        <v>2239</v>
      </c>
      <c r="AA16" s="291">
        <v>2240</v>
      </c>
      <c r="AB16" s="159">
        <v>2240</v>
      </c>
      <c r="AC16" s="291">
        <v>2292</v>
      </c>
      <c r="AD16" s="291">
        <v>2280</v>
      </c>
      <c r="AE16" s="214">
        <v>199</v>
      </c>
      <c r="AF16" s="202">
        <v>264</v>
      </c>
      <c r="AG16" s="202">
        <v>264</v>
      </c>
      <c r="AH16" s="202">
        <v>368</v>
      </c>
      <c r="AI16" s="202">
        <v>438</v>
      </c>
      <c r="AJ16" s="202">
        <v>438</v>
      </c>
      <c r="AK16" s="202">
        <v>437</v>
      </c>
      <c r="AL16" s="202">
        <v>494</v>
      </c>
      <c r="AM16" s="298">
        <v>525</v>
      </c>
      <c r="AN16" s="298">
        <v>520</v>
      </c>
      <c r="AO16" s="298">
        <v>532</v>
      </c>
      <c r="AP16" s="298">
        <v>679</v>
      </c>
      <c r="AQ16" s="467">
        <v>731</v>
      </c>
      <c r="AR16" s="420">
        <f t="shared" si="9"/>
        <v>32.061403508771932</v>
      </c>
      <c r="AS16" s="38" t="s">
        <v>34</v>
      </c>
    </row>
    <row r="17" spans="1:50" ht="12.75" customHeight="1" x14ac:dyDescent="0.2">
      <c r="A17" s="7"/>
      <c r="B17" s="9" t="s">
        <v>39</v>
      </c>
      <c r="C17" s="215">
        <v>15850</v>
      </c>
      <c r="D17" s="208">
        <v>15724</v>
      </c>
      <c r="E17" s="216">
        <v>14539</v>
      </c>
      <c r="F17" s="208">
        <f>6717+7591</f>
        <v>14308</v>
      </c>
      <c r="G17" s="208">
        <f>6717+7564</f>
        <v>14281</v>
      </c>
      <c r="H17" s="208">
        <f>6654+7654</f>
        <v>14308</v>
      </c>
      <c r="I17" s="208">
        <f>6575+7714</f>
        <v>14289</v>
      </c>
      <c r="J17" s="208">
        <f>6571+7790</f>
        <v>14361</v>
      </c>
      <c r="K17" s="208">
        <f>6559+7788</f>
        <v>14347</v>
      </c>
      <c r="L17" s="208">
        <f>6559+7788</f>
        <v>14347</v>
      </c>
      <c r="M17" s="208">
        <f>6499+7927</f>
        <v>14426</v>
      </c>
      <c r="N17" s="208">
        <f>6432+8477</f>
        <v>14909</v>
      </c>
      <c r="O17" s="208">
        <f>6447+8338</f>
        <v>14785</v>
      </c>
      <c r="P17" s="204">
        <f>6537+8478</f>
        <v>15015</v>
      </c>
      <c r="Q17" s="208">
        <f>6486+8726</f>
        <v>15212</v>
      </c>
      <c r="R17" s="204">
        <f>6455+9099</f>
        <v>15554</v>
      </c>
      <c r="S17" s="204">
        <f>6434+9116</f>
        <v>15550</v>
      </c>
      <c r="T17" s="204">
        <f>6394+8936</f>
        <v>15330</v>
      </c>
      <c r="U17" s="204">
        <f>6398+9439</f>
        <v>15837</v>
      </c>
      <c r="V17" s="204">
        <f>15932</f>
        <v>15932</v>
      </c>
      <c r="W17" s="204">
        <f>6268+9654</f>
        <v>15922</v>
      </c>
      <c r="X17" s="204">
        <f>9768+6169</f>
        <v>15937</v>
      </c>
      <c r="Y17" s="204">
        <f>9717+6184</f>
        <v>15901</v>
      </c>
      <c r="Z17" s="204">
        <f>10211+5845</f>
        <v>16056</v>
      </c>
      <c r="AA17" s="289">
        <f>10138+5784</f>
        <v>15922</v>
      </c>
      <c r="AB17" s="204">
        <f>5781+10123</f>
        <v>15904</v>
      </c>
      <c r="AC17" s="289">
        <f>10140+5753</f>
        <v>15893</v>
      </c>
      <c r="AD17" s="289">
        <f>15390+276+52</f>
        <v>15718</v>
      </c>
      <c r="AE17" s="211">
        <f>9099</f>
        <v>9099</v>
      </c>
      <c r="AF17" s="212">
        <v>9116</v>
      </c>
      <c r="AG17" s="212">
        <v>8936</v>
      </c>
      <c r="AH17" s="212">
        <v>9439</v>
      </c>
      <c r="AI17" s="212">
        <v>9615</v>
      </c>
      <c r="AJ17" s="212">
        <v>9654</v>
      </c>
      <c r="AK17" s="212">
        <v>9768</v>
      </c>
      <c r="AL17" s="212">
        <v>9717</v>
      </c>
      <c r="AM17" s="300">
        <v>10211</v>
      </c>
      <c r="AN17" s="300">
        <v>10138</v>
      </c>
      <c r="AO17" s="300">
        <v>10123</v>
      </c>
      <c r="AP17" s="300">
        <v>10140</v>
      </c>
      <c r="AQ17" s="466">
        <f>9817+149+50</f>
        <v>10016</v>
      </c>
      <c r="AR17" s="419">
        <f t="shared" si="9"/>
        <v>63.723119989820589</v>
      </c>
      <c r="AS17" s="9" t="s">
        <v>39</v>
      </c>
    </row>
    <row r="18" spans="1:50" ht="12.75" customHeight="1" x14ac:dyDescent="0.2">
      <c r="A18" s="7"/>
      <c r="B18" s="38" t="s">
        <v>40</v>
      </c>
      <c r="C18" s="214">
        <v>37582</v>
      </c>
      <c r="D18" s="202">
        <v>34362</v>
      </c>
      <c r="E18" s="202">
        <v>34070</v>
      </c>
      <c r="F18" s="202">
        <v>31940</v>
      </c>
      <c r="G18" s="202">
        <v>31852</v>
      </c>
      <c r="H18" s="202">
        <v>31821</v>
      </c>
      <c r="I18" s="202">
        <v>31770</v>
      </c>
      <c r="J18" s="202">
        <v>31735</v>
      </c>
      <c r="K18" s="202">
        <v>31397</v>
      </c>
      <c r="L18" s="202">
        <v>31385</v>
      </c>
      <c r="M18" s="202">
        <v>31320</v>
      </c>
      <c r="N18" s="202">
        <v>30990</v>
      </c>
      <c r="O18" s="202">
        <v>30880</v>
      </c>
      <c r="P18" s="159">
        <v>30871</v>
      </c>
      <c r="Q18" s="202">
        <v>30883</v>
      </c>
      <c r="R18" s="159">
        <v>31154</v>
      </c>
      <c r="S18" s="159">
        <v>31041</v>
      </c>
      <c r="T18" s="159">
        <v>30939</v>
      </c>
      <c r="U18" s="159">
        <v>30335</v>
      </c>
      <c r="V18" s="159">
        <v>30404</v>
      </c>
      <c r="W18" s="159">
        <v>30581</v>
      </c>
      <c r="X18" s="159">
        <v>30318</v>
      </c>
      <c r="Y18" s="159">
        <v>29335</v>
      </c>
      <c r="Z18" s="159">
        <v>28808</v>
      </c>
      <c r="AA18" s="291">
        <v>28364</v>
      </c>
      <c r="AB18" s="159">
        <v>28120</v>
      </c>
      <c r="AC18" s="291">
        <v>27594</v>
      </c>
      <c r="AD18" s="291">
        <v>27483</v>
      </c>
      <c r="AE18" s="214">
        <v>15132</v>
      </c>
      <c r="AF18" s="202">
        <v>15343</v>
      </c>
      <c r="AG18" s="202">
        <v>15430</v>
      </c>
      <c r="AH18" s="202">
        <v>15453</v>
      </c>
      <c r="AI18" s="202">
        <v>15815</v>
      </c>
      <c r="AJ18" s="202">
        <v>16116</v>
      </c>
      <c r="AK18" s="202">
        <v>15858</v>
      </c>
      <c r="AL18" s="202">
        <v>16031</v>
      </c>
      <c r="AM18" s="298">
        <v>15987</v>
      </c>
      <c r="AN18" s="298">
        <v>16097</v>
      </c>
      <c r="AO18" s="298">
        <v>16052</v>
      </c>
      <c r="AP18" s="298">
        <v>16054</v>
      </c>
      <c r="AQ18" s="467">
        <v>16067</v>
      </c>
      <c r="AR18" s="420">
        <f t="shared" si="9"/>
        <v>58.461594440199391</v>
      </c>
      <c r="AS18" s="38" t="s">
        <v>40</v>
      </c>
    </row>
    <row r="19" spans="1:50" ht="12.75" customHeight="1" x14ac:dyDescent="0.2">
      <c r="A19" s="7"/>
      <c r="B19" s="9" t="s">
        <v>51</v>
      </c>
      <c r="C19" s="215">
        <v>2411</v>
      </c>
      <c r="D19" s="208">
        <v>2437</v>
      </c>
      <c r="E19" s="208">
        <v>2429</v>
      </c>
      <c r="F19" s="208">
        <v>2296</v>
      </c>
      <c r="G19" s="208">
        <v>2726</v>
      </c>
      <c r="H19" s="208">
        <v>2726</v>
      </c>
      <c r="I19" s="208">
        <v>2726</v>
      </c>
      <c r="J19" s="208">
        <v>2726</v>
      </c>
      <c r="K19" s="208">
        <v>2726</v>
      </c>
      <c r="L19" s="208">
        <v>2726</v>
      </c>
      <c r="M19" s="208">
        <v>2726</v>
      </c>
      <c r="N19" s="208">
        <v>2726</v>
      </c>
      <c r="O19" s="208">
        <v>2726</v>
      </c>
      <c r="P19" s="204">
        <v>2726</v>
      </c>
      <c r="Q19" s="208">
        <v>2722</v>
      </c>
      <c r="R19" s="204">
        <v>2722</v>
      </c>
      <c r="S19" s="204">
        <v>2722</v>
      </c>
      <c r="T19" s="204">
        <v>2722</v>
      </c>
      <c r="U19" s="204">
        <v>2722</v>
      </c>
      <c r="V19" s="204">
        <v>2722</v>
      </c>
      <c r="W19" s="204">
        <v>2722</v>
      </c>
      <c r="X19" s="204">
        <v>2722</v>
      </c>
      <c r="Y19" s="204">
        <v>2604</v>
      </c>
      <c r="Z19" s="204">
        <v>2604</v>
      </c>
      <c r="AA19" s="289">
        <v>2605</v>
      </c>
      <c r="AB19" s="204">
        <v>2605</v>
      </c>
      <c r="AC19" s="289">
        <v>2605</v>
      </c>
      <c r="AD19" s="289">
        <v>2617</v>
      </c>
      <c r="AE19" s="215">
        <v>980</v>
      </c>
      <c r="AF19" s="208">
        <v>985</v>
      </c>
      <c r="AG19" s="208">
        <v>984</v>
      </c>
      <c r="AH19" s="208">
        <v>984</v>
      </c>
      <c r="AI19" s="208">
        <v>984</v>
      </c>
      <c r="AJ19" s="208">
        <v>984</v>
      </c>
      <c r="AK19" s="208">
        <v>985</v>
      </c>
      <c r="AL19" s="208">
        <v>970</v>
      </c>
      <c r="AM19" s="299">
        <v>970</v>
      </c>
      <c r="AN19" s="299">
        <v>970</v>
      </c>
      <c r="AO19" s="299">
        <v>970</v>
      </c>
      <c r="AP19" s="299">
        <v>970</v>
      </c>
      <c r="AQ19" s="468">
        <v>970</v>
      </c>
      <c r="AR19" s="419">
        <f t="shared" si="9"/>
        <v>37.06534199465036</v>
      </c>
      <c r="AS19" s="9" t="s">
        <v>51</v>
      </c>
    </row>
    <row r="20" spans="1:50" ht="12.75" customHeight="1" x14ac:dyDescent="0.2">
      <c r="A20" s="7"/>
      <c r="B20" s="38" t="s">
        <v>42</v>
      </c>
      <c r="C20" s="217">
        <v>16073</v>
      </c>
      <c r="D20" s="218">
        <v>16138</v>
      </c>
      <c r="E20" s="218">
        <v>16066</v>
      </c>
      <c r="F20" s="218">
        <v>16003</v>
      </c>
      <c r="G20" s="218">
        <v>16014</v>
      </c>
      <c r="H20" s="218">
        <v>16030</v>
      </c>
      <c r="I20" s="218">
        <v>16080</v>
      </c>
      <c r="J20" s="218">
        <v>16092</v>
      </c>
      <c r="K20" s="218">
        <v>16187</v>
      </c>
      <c r="L20" s="218">
        <v>16357</v>
      </c>
      <c r="M20" s="218">
        <v>16307</v>
      </c>
      <c r="N20" s="218">
        <v>16287</v>
      </c>
      <c r="O20" s="218">
        <v>16236</v>
      </c>
      <c r="P20" s="218">
        <f>320+16225</f>
        <v>16545</v>
      </c>
      <c r="Q20" s="218">
        <f>16295+332</f>
        <v>16627</v>
      </c>
      <c r="R20" s="218">
        <f>16335+332</f>
        <v>16667</v>
      </c>
      <c r="S20" s="218">
        <v>16861</v>
      </c>
      <c r="T20" s="218">
        <f>318+16686</f>
        <v>17004</v>
      </c>
      <c r="U20" s="218">
        <f>318+16704</f>
        <v>17022</v>
      </c>
      <c r="V20" s="218">
        <f>16727+318</f>
        <v>17045</v>
      </c>
      <c r="W20" s="218">
        <v>17060</v>
      </c>
      <c r="X20" s="218">
        <f>16752+318</f>
        <v>17070</v>
      </c>
      <c r="Y20" s="218">
        <f>16721+316</f>
        <v>17037</v>
      </c>
      <c r="Z20" s="218">
        <f>16723+318</f>
        <v>17041</v>
      </c>
      <c r="AA20" s="301">
        <f>16778+318</f>
        <v>17096</v>
      </c>
      <c r="AB20" s="218">
        <f>16787+318</f>
        <v>17105</v>
      </c>
      <c r="AC20" s="301">
        <v>16781</v>
      </c>
      <c r="AD20" s="301">
        <v>16779</v>
      </c>
      <c r="AE20" s="217">
        <f>11531+200</f>
        <v>11731</v>
      </c>
      <c r="AF20" s="218">
        <v>11927</v>
      </c>
      <c r="AG20" s="218">
        <f>195+11887</f>
        <v>12082</v>
      </c>
      <c r="AH20" s="218">
        <f>11906+122</f>
        <v>12028</v>
      </c>
      <c r="AI20" s="218">
        <f>11925+195</f>
        <v>12120</v>
      </c>
      <c r="AJ20" s="218">
        <f>11931+195</f>
        <v>12126</v>
      </c>
      <c r="AK20" s="218">
        <f>11969+195</f>
        <v>12164</v>
      </c>
      <c r="AL20" s="218">
        <f>11939+194</f>
        <v>12133</v>
      </c>
      <c r="AM20" s="301">
        <f>11941+195</f>
        <v>12136</v>
      </c>
      <c r="AN20" s="301">
        <f>12023+195</f>
        <v>12218</v>
      </c>
      <c r="AO20" s="301">
        <f>12022+195</f>
        <v>12217</v>
      </c>
      <c r="AP20" s="301">
        <v>12018</v>
      </c>
      <c r="AQ20" s="429">
        <v>12016</v>
      </c>
      <c r="AR20" s="420">
        <f t="shared" si="9"/>
        <v>71.613326181536436</v>
      </c>
      <c r="AS20" s="38" t="s">
        <v>42</v>
      </c>
    </row>
    <row r="21" spans="1:50" ht="12.75" customHeight="1" x14ac:dyDescent="0.2">
      <c r="A21" s="7"/>
      <c r="B21" s="9" t="s">
        <v>21</v>
      </c>
      <c r="C21" s="203" t="s">
        <v>50</v>
      </c>
      <c r="D21" s="204" t="s">
        <v>50</v>
      </c>
      <c r="E21" s="204" t="s">
        <v>50</v>
      </c>
      <c r="F21" s="204" t="s">
        <v>50</v>
      </c>
      <c r="G21" s="204" t="s">
        <v>50</v>
      </c>
      <c r="H21" s="204" t="s">
        <v>50</v>
      </c>
      <c r="I21" s="204" t="s">
        <v>50</v>
      </c>
      <c r="J21" s="204" t="s">
        <v>50</v>
      </c>
      <c r="K21" s="204" t="s">
        <v>50</v>
      </c>
      <c r="L21" s="204" t="s">
        <v>50</v>
      </c>
      <c r="M21" s="204" t="s">
        <v>50</v>
      </c>
      <c r="N21" s="204" t="s">
        <v>50</v>
      </c>
      <c r="O21" s="204" t="s">
        <v>50</v>
      </c>
      <c r="P21" s="204" t="s">
        <v>50</v>
      </c>
      <c r="Q21" s="204" t="s">
        <v>50</v>
      </c>
      <c r="R21" s="204" t="s">
        <v>50</v>
      </c>
      <c r="S21" s="204" t="s">
        <v>50</v>
      </c>
      <c r="T21" s="204" t="s">
        <v>50</v>
      </c>
      <c r="U21" s="204" t="s">
        <v>50</v>
      </c>
      <c r="V21" s="204" t="s">
        <v>50</v>
      </c>
      <c r="W21" s="204" t="s">
        <v>50</v>
      </c>
      <c r="X21" s="204" t="s">
        <v>50</v>
      </c>
      <c r="Y21" s="204" t="s">
        <v>50</v>
      </c>
      <c r="Z21" s="204" t="s">
        <v>50</v>
      </c>
      <c r="AA21" s="289" t="s">
        <v>50</v>
      </c>
      <c r="AB21" s="289" t="s">
        <v>50</v>
      </c>
      <c r="AC21" s="289" t="s">
        <v>50</v>
      </c>
      <c r="AD21" s="289" t="s">
        <v>50</v>
      </c>
      <c r="AE21" s="219" t="s">
        <v>50</v>
      </c>
      <c r="AF21" s="220" t="s">
        <v>50</v>
      </c>
      <c r="AG21" s="220" t="s">
        <v>50</v>
      </c>
      <c r="AH21" s="220" t="s">
        <v>50</v>
      </c>
      <c r="AI21" s="220" t="s">
        <v>50</v>
      </c>
      <c r="AJ21" s="220" t="s">
        <v>50</v>
      </c>
      <c r="AK21" s="220" t="s">
        <v>50</v>
      </c>
      <c r="AL21" s="220" t="s">
        <v>50</v>
      </c>
      <c r="AM21" s="302" t="s">
        <v>50</v>
      </c>
      <c r="AN21" s="302" t="s">
        <v>50</v>
      </c>
      <c r="AO21" s="302" t="s">
        <v>50</v>
      </c>
      <c r="AP21" s="303" t="s">
        <v>50</v>
      </c>
      <c r="AQ21" s="469" t="s">
        <v>50</v>
      </c>
      <c r="AR21" s="357" t="s">
        <v>50</v>
      </c>
      <c r="AS21" s="262" t="s">
        <v>21</v>
      </c>
    </row>
    <row r="22" spans="1:50" ht="12.75" customHeight="1" x14ac:dyDescent="0.2">
      <c r="A22" s="7"/>
      <c r="B22" s="38" t="s">
        <v>25</v>
      </c>
      <c r="C22" s="214">
        <v>2606</v>
      </c>
      <c r="D22" s="202">
        <v>2384</v>
      </c>
      <c r="E22" s="202">
        <v>2397</v>
      </c>
      <c r="F22" s="202">
        <v>2413</v>
      </c>
      <c r="G22" s="202">
        <v>2413</v>
      </c>
      <c r="H22" s="202">
        <v>2413</v>
      </c>
      <c r="I22" s="202">
        <v>2413</v>
      </c>
      <c r="J22" s="202">
        <v>2413</v>
      </c>
      <c r="K22" s="202">
        <v>2331</v>
      </c>
      <c r="L22" s="202">
        <v>2305</v>
      </c>
      <c r="M22" s="202">
        <v>2270</v>
      </c>
      <c r="N22" s="202">
        <v>2270</v>
      </c>
      <c r="O22" s="202">
        <v>2270</v>
      </c>
      <c r="P22" s="159">
        <v>2270</v>
      </c>
      <c r="Q22" s="202">
        <v>2269</v>
      </c>
      <c r="R22" s="159">
        <v>2265</v>
      </c>
      <c r="S22" s="159">
        <v>2263</v>
      </c>
      <c r="T22" s="159">
        <v>1884</v>
      </c>
      <c r="U22" s="159">
        <v>1897</v>
      </c>
      <c r="V22" s="159">
        <v>1865</v>
      </c>
      <c r="W22" s="159">
        <v>1860</v>
      </c>
      <c r="X22" s="159">
        <v>1859</v>
      </c>
      <c r="Y22" s="159">
        <v>1853</v>
      </c>
      <c r="Z22" s="159">
        <v>1859</v>
      </c>
      <c r="AA22" s="291">
        <v>1860</v>
      </c>
      <c r="AB22" s="159">
        <v>1860</v>
      </c>
      <c r="AC22" s="291">
        <v>1860</v>
      </c>
      <c r="AD22" s="291">
        <v>1860</v>
      </c>
      <c r="AE22" s="214">
        <v>257</v>
      </c>
      <c r="AF22" s="202">
        <v>257</v>
      </c>
      <c r="AG22" s="202">
        <v>257</v>
      </c>
      <c r="AH22" s="202">
        <v>257</v>
      </c>
      <c r="AI22" s="202">
        <v>257</v>
      </c>
      <c r="AJ22" s="202">
        <v>250</v>
      </c>
      <c r="AK22" s="202">
        <v>250</v>
      </c>
      <c r="AL22" s="202">
        <v>245</v>
      </c>
      <c r="AM22" s="298">
        <v>250</v>
      </c>
      <c r="AN22" s="298">
        <v>251</v>
      </c>
      <c r="AO22" s="298">
        <v>251</v>
      </c>
      <c r="AP22" s="298">
        <v>251</v>
      </c>
      <c r="AQ22" s="467">
        <v>251</v>
      </c>
      <c r="AR22" s="423">
        <f t="shared" si="9"/>
        <v>13.494623655913978</v>
      </c>
      <c r="AS22" s="261" t="s">
        <v>25</v>
      </c>
    </row>
    <row r="23" spans="1:50" ht="12.75" customHeight="1" x14ac:dyDescent="0.2">
      <c r="A23" s="7"/>
      <c r="B23" s="9" t="s">
        <v>26</v>
      </c>
      <c r="C23" s="215">
        <v>2015</v>
      </c>
      <c r="D23" s="208">
        <v>2008</v>
      </c>
      <c r="E23" s="208">
        <v>2007</v>
      </c>
      <c r="F23" s="208">
        <v>2002</v>
      </c>
      <c r="G23" s="208">
        <v>1997</v>
      </c>
      <c r="H23" s="208">
        <v>1998</v>
      </c>
      <c r="I23" s="208">
        <v>1998</v>
      </c>
      <c r="J23" s="208">
        <v>1905</v>
      </c>
      <c r="K23" s="208">
        <v>1905</v>
      </c>
      <c r="L23" s="208">
        <v>1696</v>
      </c>
      <c r="M23" s="208">
        <v>1775</v>
      </c>
      <c r="N23" s="208">
        <v>1774</v>
      </c>
      <c r="O23" s="208">
        <v>1782</v>
      </c>
      <c r="P23" s="204">
        <f>1771</f>
        <v>1771</v>
      </c>
      <c r="Q23" s="208">
        <v>1771</v>
      </c>
      <c r="R23" s="204">
        <v>1766</v>
      </c>
      <c r="S23" s="204">
        <v>1765</v>
      </c>
      <c r="T23" s="204">
        <v>1767</v>
      </c>
      <c r="U23" s="204">
        <f>1767</f>
        <v>1767</v>
      </c>
      <c r="V23" s="204">
        <v>1767</v>
      </c>
      <c r="W23" s="204">
        <v>1767</v>
      </c>
      <c r="X23" s="204">
        <v>1767</v>
      </c>
      <c r="Y23" s="204">
        <v>1767</v>
      </c>
      <c r="Z23" s="204">
        <v>1877</v>
      </c>
      <c r="AA23" s="289">
        <v>1911</v>
      </c>
      <c r="AB23" s="204">
        <v>1911</v>
      </c>
      <c r="AC23" s="289">
        <v>1911</v>
      </c>
      <c r="AD23" s="289">
        <v>1911</v>
      </c>
      <c r="AE23" s="211">
        <v>122</v>
      </c>
      <c r="AF23" s="212">
        <v>122</v>
      </c>
      <c r="AG23" s="212">
        <v>122</v>
      </c>
      <c r="AH23" s="212">
        <v>122</v>
      </c>
      <c r="AI23" s="212">
        <v>122</v>
      </c>
      <c r="AJ23" s="212">
        <v>122</v>
      </c>
      <c r="AK23" s="212">
        <v>122</v>
      </c>
      <c r="AL23" s="212">
        <v>122</v>
      </c>
      <c r="AM23" s="300">
        <v>122</v>
      </c>
      <c r="AN23" s="300">
        <v>122</v>
      </c>
      <c r="AO23" s="300">
        <v>152</v>
      </c>
      <c r="AP23" s="300">
        <v>152</v>
      </c>
      <c r="AQ23" s="466">
        <v>152</v>
      </c>
      <c r="AR23" s="422">
        <f t="shared" si="9"/>
        <v>7.9539508110936685</v>
      </c>
      <c r="AS23" s="262" t="s">
        <v>26</v>
      </c>
      <c r="AU23" s="310"/>
      <c r="AX23" s="310"/>
    </row>
    <row r="24" spans="1:50" ht="12.75" customHeight="1" x14ac:dyDescent="0.2">
      <c r="A24" s="7"/>
      <c r="B24" s="38" t="s">
        <v>43</v>
      </c>
      <c r="C24" s="214">
        <v>271</v>
      </c>
      <c r="D24" s="202">
        <v>270</v>
      </c>
      <c r="E24" s="202">
        <v>271</v>
      </c>
      <c r="F24" s="202">
        <v>275</v>
      </c>
      <c r="G24" s="159">
        <v>274</v>
      </c>
      <c r="H24" s="159">
        <v>274</v>
      </c>
      <c r="I24" s="159">
        <v>274</v>
      </c>
      <c r="J24" s="159">
        <v>274</v>
      </c>
      <c r="K24" s="202">
        <v>274</v>
      </c>
      <c r="L24" s="159">
        <v>274</v>
      </c>
      <c r="M24" s="159">
        <v>274</v>
      </c>
      <c r="N24" s="159">
        <v>275</v>
      </c>
      <c r="O24" s="159">
        <v>275</v>
      </c>
      <c r="P24" s="159">
        <v>275</v>
      </c>
      <c r="Q24" s="202">
        <v>275</v>
      </c>
      <c r="R24" s="159">
        <v>275</v>
      </c>
      <c r="S24" s="159">
        <v>275</v>
      </c>
      <c r="T24" s="159">
        <v>275</v>
      </c>
      <c r="U24" s="159">
        <v>275</v>
      </c>
      <c r="V24" s="159">
        <v>275</v>
      </c>
      <c r="W24" s="159">
        <v>275</v>
      </c>
      <c r="X24" s="159">
        <v>275</v>
      </c>
      <c r="Y24" s="159">
        <v>275</v>
      </c>
      <c r="Z24" s="159">
        <v>275</v>
      </c>
      <c r="AA24" s="291">
        <v>275</v>
      </c>
      <c r="AB24" s="159">
        <v>275</v>
      </c>
      <c r="AC24" s="291">
        <v>275</v>
      </c>
      <c r="AD24" s="291">
        <v>288</v>
      </c>
      <c r="AE24" s="214">
        <v>262</v>
      </c>
      <c r="AF24" s="202">
        <v>262</v>
      </c>
      <c r="AG24" s="202">
        <v>262</v>
      </c>
      <c r="AH24" s="202">
        <v>262</v>
      </c>
      <c r="AI24" s="202">
        <v>262</v>
      </c>
      <c r="AJ24" s="202">
        <v>262</v>
      </c>
      <c r="AK24" s="202">
        <v>262</v>
      </c>
      <c r="AL24" s="202">
        <v>262</v>
      </c>
      <c r="AM24" s="298">
        <v>262</v>
      </c>
      <c r="AN24" s="298">
        <v>262</v>
      </c>
      <c r="AO24" s="298">
        <v>262</v>
      </c>
      <c r="AP24" s="298">
        <v>262</v>
      </c>
      <c r="AQ24" s="467">
        <v>262</v>
      </c>
      <c r="AR24" s="423">
        <f t="shared" si="9"/>
        <v>90.972222222222214</v>
      </c>
      <c r="AS24" s="261" t="s">
        <v>43</v>
      </c>
    </row>
    <row r="25" spans="1:50" ht="12.75" customHeight="1" x14ac:dyDescent="0.2">
      <c r="A25" s="7"/>
      <c r="B25" s="9" t="s">
        <v>24</v>
      </c>
      <c r="C25" s="206">
        <v>8487</v>
      </c>
      <c r="D25" s="221">
        <v>7836</v>
      </c>
      <c r="E25" s="221">
        <v>7838</v>
      </c>
      <c r="F25" s="221">
        <v>7714</v>
      </c>
      <c r="G25" s="221"/>
      <c r="H25" s="221"/>
      <c r="I25" s="221"/>
      <c r="J25" s="221"/>
      <c r="K25" s="221">
        <v>8005</v>
      </c>
      <c r="L25" s="221">
        <v>7736</v>
      </c>
      <c r="M25" s="221">
        <v>7949</v>
      </c>
      <c r="N25" s="221">
        <v>7950</v>
      </c>
      <c r="O25" s="221">
        <v>7950</v>
      </c>
      <c r="P25" s="221">
        <v>7950</v>
      </c>
      <c r="Q25" s="221">
        <f>7676+284</f>
        <v>7960</v>
      </c>
      <c r="R25" s="221">
        <f>7658+284</f>
        <v>7942</v>
      </c>
      <c r="S25" s="221">
        <v>7892</v>
      </c>
      <c r="T25" s="221">
        <f>284+7608</f>
        <v>7892</v>
      </c>
      <c r="U25" s="221">
        <f>7609+284</f>
        <v>7893</v>
      </c>
      <c r="V25" s="221">
        <f>7397+509</f>
        <v>7906</v>
      </c>
      <c r="W25" s="221">
        <f>7385+492</f>
        <v>7877</v>
      </c>
      <c r="X25" s="221">
        <f>7389+509</f>
        <v>7898</v>
      </c>
      <c r="Y25" s="221">
        <f>7384+508</f>
        <v>7892</v>
      </c>
      <c r="Z25" s="221">
        <f>7385+509</f>
        <v>7894</v>
      </c>
      <c r="AA25" s="290">
        <f>7243+506</f>
        <v>7749</v>
      </c>
      <c r="AB25" s="221">
        <f>7246+505.7</f>
        <v>7751.7</v>
      </c>
      <c r="AC25" s="290">
        <f>506+7246</f>
        <v>7752</v>
      </c>
      <c r="AD25" s="290">
        <f>7082+506</f>
        <v>7588</v>
      </c>
      <c r="AE25" s="222">
        <f>2573+220</f>
        <v>2793</v>
      </c>
      <c r="AF25" s="223">
        <v>2848</v>
      </c>
      <c r="AG25" s="223">
        <f>220+2628</f>
        <v>2848</v>
      </c>
      <c r="AH25" s="223">
        <f>2727+220</f>
        <v>2947</v>
      </c>
      <c r="AI25" s="223">
        <f>2679+317</f>
        <v>2996</v>
      </c>
      <c r="AJ25" s="223">
        <f>2697+317</f>
        <v>3014</v>
      </c>
      <c r="AK25" s="223">
        <f>313+2697</f>
        <v>3010</v>
      </c>
      <c r="AL25" s="223">
        <f>2696+316</f>
        <v>3012</v>
      </c>
      <c r="AM25" s="303">
        <f>2701+378</f>
        <v>3079</v>
      </c>
      <c r="AN25" s="303">
        <f>2624+466</f>
        <v>3090</v>
      </c>
      <c r="AO25" s="303">
        <f>2672+466.2</f>
        <v>3138.2</v>
      </c>
      <c r="AP25" s="303">
        <f>466+2675</f>
        <v>3141</v>
      </c>
      <c r="AQ25" s="469">
        <f>2717+466</f>
        <v>3183</v>
      </c>
      <c r="AR25" s="422">
        <f t="shared" si="9"/>
        <v>41.947812335266207</v>
      </c>
      <c r="AS25" s="262" t="s">
        <v>24</v>
      </c>
    </row>
    <row r="26" spans="1:50" ht="12.75" customHeight="1" x14ac:dyDescent="0.2">
      <c r="A26" s="7"/>
      <c r="B26" s="38" t="s">
        <v>27</v>
      </c>
      <c r="C26" s="201" t="s">
        <v>50</v>
      </c>
      <c r="D26" s="159" t="s">
        <v>50</v>
      </c>
      <c r="E26" s="159" t="s">
        <v>50</v>
      </c>
      <c r="F26" s="159" t="s">
        <v>50</v>
      </c>
      <c r="G26" s="159" t="s">
        <v>50</v>
      </c>
      <c r="H26" s="159" t="s">
        <v>50</v>
      </c>
      <c r="I26" s="159" t="s">
        <v>50</v>
      </c>
      <c r="J26" s="159" t="s">
        <v>50</v>
      </c>
      <c r="K26" s="159" t="s">
        <v>50</v>
      </c>
      <c r="L26" s="159" t="s">
        <v>50</v>
      </c>
      <c r="M26" s="159" t="s">
        <v>50</v>
      </c>
      <c r="N26" s="159" t="s">
        <v>50</v>
      </c>
      <c r="O26" s="159" t="s">
        <v>50</v>
      </c>
      <c r="P26" s="159" t="s">
        <v>50</v>
      </c>
      <c r="Q26" s="159" t="s">
        <v>50</v>
      </c>
      <c r="R26" s="159" t="s">
        <v>50</v>
      </c>
      <c r="S26" s="159" t="s">
        <v>50</v>
      </c>
      <c r="T26" s="159" t="s">
        <v>50</v>
      </c>
      <c r="U26" s="159" t="s">
        <v>50</v>
      </c>
      <c r="V26" s="159" t="s">
        <v>50</v>
      </c>
      <c r="W26" s="159" t="s">
        <v>50</v>
      </c>
      <c r="X26" s="159" t="s">
        <v>50</v>
      </c>
      <c r="Y26" s="159" t="s">
        <v>50</v>
      </c>
      <c r="Z26" s="159" t="s">
        <v>50</v>
      </c>
      <c r="AA26" s="291" t="s">
        <v>50</v>
      </c>
      <c r="AB26" s="229" t="s">
        <v>50</v>
      </c>
      <c r="AC26" s="229" t="s">
        <v>50</v>
      </c>
      <c r="AD26" s="229" t="s">
        <v>50</v>
      </c>
      <c r="AE26" s="291" t="s">
        <v>50</v>
      </c>
      <c r="AF26" s="159" t="s">
        <v>50</v>
      </c>
      <c r="AG26" s="159" t="s">
        <v>50</v>
      </c>
      <c r="AH26" s="159" t="s">
        <v>50</v>
      </c>
      <c r="AI26" s="159" t="s">
        <v>50</v>
      </c>
      <c r="AJ26" s="159" t="s">
        <v>50</v>
      </c>
      <c r="AK26" s="159" t="s">
        <v>50</v>
      </c>
      <c r="AL26" s="159" t="s">
        <v>50</v>
      </c>
      <c r="AM26" s="291" t="s">
        <v>50</v>
      </c>
      <c r="AN26" s="291" t="s">
        <v>50</v>
      </c>
      <c r="AO26" s="291" t="s">
        <v>50</v>
      </c>
      <c r="AP26" s="301" t="s">
        <v>50</v>
      </c>
      <c r="AQ26" s="429" t="s">
        <v>50</v>
      </c>
      <c r="AR26" s="429" t="s">
        <v>50</v>
      </c>
      <c r="AS26" s="261" t="s">
        <v>27</v>
      </c>
    </row>
    <row r="27" spans="1:50" ht="12.75" customHeight="1" x14ac:dyDescent="0.2">
      <c r="A27" s="7"/>
      <c r="B27" s="9" t="s">
        <v>35</v>
      </c>
      <c r="C27" s="215">
        <v>3147</v>
      </c>
      <c r="D27" s="208">
        <v>2880</v>
      </c>
      <c r="E27" s="208">
        <v>2798</v>
      </c>
      <c r="F27" s="208">
        <v>2739</v>
      </c>
      <c r="G27" s="208">
        <v>2739</v>
      </c>
      <c r="H27" s="208">
        <v>2805</v>
      </c>
      <c r="I27" s="208">
        <v>2808</v>
      </c>
      <c r="J27" s="208">
        <v>2808</v>
      </c>
      <c r="K27" s="208">
        <v>2802</v>
      </c>
      <c r="L27" s="208">
        <v>2809</v>
      </c>
      <c r="M27" s="208">
        <v>2806</v>
      </c>
      <c r="N27" s="208">
        <v>2811</v>
      </c>
      <c r="O27" s="208">
        <v>2811</v>
      </c>
      <c r="P27" s="208">
        <v>2810</v>
      </c>
      <c r="Q27" s="208">
        <v>2797</v>
      </c>
      <c r="R27" s="208">
        <v>2801</v>
      </c>
      <c r="S27" s="208">
        <v>2888</v>
      </c>
      <c r="T27" s="208">
        <v>2896</v>
      </c>
      <c r="U27" s="208">
        <v>3013</v>
      </c>
      <c r="V27" s="208">
        <v>3013</v>
      </c>
      <c r="W27" s="208">
        <v>3013</v>
      </c>
      <c r="X27" s="208">
        <v>3013</v>
      </c>
      <c r="Y27" s="208">
        <v>3032</v>
      </c>
      <c r="Z27" s="208">
        <v>3031</v>
      </c>
      <c r="AA27" s="299">
        <v>3058</v>
      </c>
      <c r="AB27" s="208">
        <v>3055</v>
      </c>
      <c r="AC27" s="299">
        <v>3220</v>
      </c>
      <c r="AD27" s="299">
        <v>3055</v>
      </c>
      <c r="AE27" s="211">
        <v>2039</v>
      </c>
      <c r="AF27" s="300">
        <v>2155</v>
      </c>
      <c r="AG27" s="300">
        <v>2155</v>
      </c>
      <c r="AH27" s="300">
        <v>2266</v>
      </c>
      <c r="AI27" s="300">
        <v>2266</v>
      </c>
      <c r="AJ27" s="300">
        <v>2266</v>
      </c>
      <c r="AK27" s="300">
        <v>2266</v>
      </c>
      <c r="AL27" s="300">
        <v>2307</v>
      </c>
      <c r="AM27" s="300">
        <v>2302</v>
      </c>
      <c r="AN27" s="300">
        <v>2314</v>
      </c>
      <c r="AO27" s="300">
        <v>2310</v>
      </c>
      <c r="AP27" s="300">
        <v>2275</v>
      </c>
      <c r="AQ27" s="466">
        <v>2310</v>
      </c>
      <c r="AR27" s="419">
        <f t="shared" si="9"/>
        <v>75.613747954173476</v>
      </c>
      <c r="AS27" s="262" t="s">
        <v>35</v>
      </c>
    </row>
    <row r="28" spans="1:50" ht="12.75" customHeight="1" x14ac:dyDescent="0.2">
      <c r="A28" s="7"/>
      <c r="B28" s="38" t="s">
        <v>44</v>
      </c>
      <c r="C28" s="214">
        <v>5901</v>
      </c>
      <c r="D28" s="202">
        <v>5857</v>
      </c>
      <c r="E28" s="202">
        <v>5624</v>
      </c>
      <c r="F28" s="202">
        <v>5672</v>
      </c>
      <c r="G28" s="202">
        <v>5672</v>
      </c>
      <c r="H28" s="202">
        <v>5672</v>
      </c>
      <c r="I28" s="202">
        <v>5643</v>
      </c>
      <c r="J28" s="202">
        <v>5643</v>
      </c>
      <c r="K28" s="202">
        <v>5665</v>
      </c>
      <c r="L28" s="202">
        <v>5697</v>
      </c>
      <c r="M28" s="202">
        <v>5779</v>
      </c>
      <c r="N28" s="202">
        <v>5787</v>
      </c>
      <c r="O28" s="202">
        <v>5675</v>
      </c>
      <c r="P28" s="159">
        <v>5691</v>
      </c>
      <c r="Q28" s="202">
        <f>5702+25+91</f>
        <v>5818</v>
      </c>
      <c r="R28" s="159">
        <f>5702+91+25</f>
        <v>5818</v>
      </c>
      <c r="S28" s="159">
        <v>5664</v>
      </c>
      <c r="T28" s="159">
        <v>5356</v>
      </c>
      <c r="U28" s="159">
        <v>5039</v>
      </c>
      <c r="V28" s="159">
        <v>5021</v>
      </c>
      <c r="W28" s="159">
        <v>4894</v>
      </c>
      <c r="X28" s="159">
        <v>4894</v>
      </c>
      <c r="Y28" s="159">
        <f>4967+91</f>
        <v>5058</v>
      </c>
      <c r="Z28" s="159">
        <f>4846+91</f>
        <v>4937</v>
      </c>
      <c r="AA28" s="291">
        <f>4826+91</f>
        <v>4917</v>
      </c>
      <c r="AB28" s="159">
        <f>4862+91</f>
        <v>4953</v>
      </c>
      <c r="AC28" s="291">
        <f>4862+91</f>
        <v>4953</v>
      </c>
      <c r="AD28" s="291">
        <f>4877+91</f>
        <v>4968</v>
      </c>
      <c r="AE28" s="214">
        <f>3520+25</f>
        <v>3545</v>
      </c>
      <c r="AF28" s="202">
        <v>3510</v>
      </c>
      <c r="AG28" s="202">
        <v>3518</v>
      </c>
      <c r="AH28" s="202">
        <v>3427</v>
      </c>
      <c r="AI28" s="202">
        <v>3416</v>
      </c>
      <c r="AJ28" s="202">
        <v>3468</v>
      </c>
      <c r="AK28" s="202">
        <v>3468</v>
      </c>
      <c r="AL28" s="202">
        <f>3527</f>
        <v>3527</v>
      </c>
      <c r="AM28" s="298">
        <v>3517</v>
      </c>
      <c r="AN28" s="298">
        <f>3537</f>
        <v>3537</v>
      </c>
      <c r="AO28" s="298">
        <v>3557</v>
      </c>
      <c r="AP28" s="298">
        <v>3560</v>
      </c>
      <c r="AQ28" s="467">
        <f>3583</f>
        <v>3583</v>
      </c>
      <c r="AR28" s="420">
        <f t="shared" si="9"/>
        <v>72.12157809983897</v>
      </c>
      <c r="AS28" s="261" t="s">
        <v>44</v>
      </c>
    </row>
    <row r="29" spans="1:50" ht="12.75" customHeight="1" x14ac:dyDescent="0.2">
      <c r="A29" s="7"/>
      <c r="B29" s="9" t="s">
        <v>28</v>
      </c>
      <c r="C29" s="215">
        <v>26678</v>
      </c>
      <c r="D29" s="208">
        <v>27181</v>
      </c>
      <c r="E29" s="208">
        <v>26228</v>
      </c>
      <c r="F29" s="208">
        <v>23986</v>
      </c>
      <c r="G29" s="208">
        <v>23420</v>
      </c>
      <c r="H29" s="208">
        <v>23328</v>
      </c>
      <c r="I29" s="208">
        <v>23210</v>
      </c>
      <c r="J29" s="208">
        <v>22891</v>
      </c>
      <c r="K29" s="208">
        <v>22560</v>
      </c>
      <c r="L29" s="208">
        <v>20134</v>
      </c>
      <c r="M29" s="208">
        <v>20223</v>
      </c>
      <c r="N29" s="208">
        <v>20665</v>
      </c>
      <c r="O29" s="208">
        <v>20250</v>
      </c>
      <c r="P29" s="204">
        <v>19507</v>
      </c>
      <c r="Q29" s="208">
        <v>19429</v>
      </c>
      <c r="R29" s="204">
        <v>19419</v>
      </c>
      <c r="S29" s="204">
        <v>19627</v>
      </c>
      <c r="T29" s="204">
        <v>19764</v>
      </c>
      <c r="U29" s="204">
        <v>19702</v>
      </c>
      <c r="V29" s="204">
        <v>19725</v>
      </c>
      <c r="W29" s="204">
        <v>19617</v>
      </c>
      <c r="X29" s="204">
        <v>18959</v>
      </c>
      <c r="Y29" s="204">
        <v>18942</v>
      </c>
      <c r="Z29" s="204">
        <v>18510</v>
      </c>
      <c r="AA29" s="289">
        <v>18429</v>
      </c>
      <c r="AB29" s="204">
        <v>18513</v>
      </c>
      <c r="AC29" s="289">
        <v>18536</v>
      </c>
      <c r="AD29" s="289">
        <f>18538</f>
        <v>18538</v>
      </c>
      <c r="AE29" s="211">
        <v>11831</v>
      </c>
      <c r="AF29" s="212">
        <v>11856</v>
      </c>
      <c r="AG29" s="212">
        <v>11891</v>
      </c>
      <c r="AH29" s="212">
        <v>11854</v>
      </c>
      <c r="AI29" s="212">
        <v>11817</v>
      </c>
      <c r="AJ29" s="212">
        <v>11860</v>
      </c>
      <c r="AK29" s="212">
        <v>11817</v>
      </c>
      <c r="AL29" s="212">
        <v>11779</v>
      </c>
      <c r="AM29" s="300">
        <v>11777</v>
      </c>
      <c r="AN29" s="300">
        <v>11786</v>
      </c>
      <c r="AO29" s="300">
        <v>11771</v>
      </c>
      <c r="AP29" s="300">
        <v>11811</v>
      </c>
      <c r="AQ29" s="466">
        <v>11909</v>
      </c>
      <c r="AR29" s="422">
        <f t="shared" si="9"/>
        <v>64.241018448592087</v>
      </c>
      <c r="AS29" s="262" t="s">
        <v>28</v>
      </c>
      <c r="AU29" s="310"/>
    </row>
    <row r="30" spans="1:50" ht="12.75" customHeight="1" x14ac:dyDescent="0.2">
      <c r="A30" s="7"/>
      <c r="B30" s="38" t="s">
        <v>45</v>
      </c>
      <c r="C30" s="214">
        <v>3588</v>
      </c>
      <c r="D30" s="202">
        <v>3609</v>
      </c>
      <c r="E30" s="202">
        <v>3064</v>
      </c>
      <c r="F30" s="202">
        <v>2850</v>
      </c>
      <c r="G30" s="202">
        <v>2850</v>
      </c>
      <c r="H30" s="202">
        <v>2856</v>
      </c>
      <c r="I30" s="202">
        <v>2794</v>
      </c>
      <c r="J30" s="202">
        <v>2813</v>
      </c>
      <c r="K30" s="202">
        <v>2814</v>
      </c>
      <c r="L30" s="202">
        <v>2814</v>
      </c>
      <c r="M30" s="202">
        <v>2818</v>
      </c>
      <c r="N30" s="202">
        <v>2818</v>
      </c>
      <c r="O30" s="202">
        <v>2849</v>
      </c>
      <c r="P30" s="159">
        <v>2844</v>
      </c>
      <c r="Q30" s="202">
        <v>2839</v>
      </c>
      <c r="R30" s="159">
        <v>2838</v>
      </c>
      <c r="S30" s="159">
        <v>2842</v>
      </c>
      <c r="T30" s="159">
        <v>2842</v>
      </c>
      <c r="U30" s="159">
        <v>2842</v>
      </c>
      <c r="V30" s="159">
        <v>2793</v>
      </c>
      <c r="W30" s="159">
        <v>2541</v>
      </c>
      <c r="X30" s="159">
        <v>2544</v>
      </c>
      <c r="Y30" s="159">
        <v>2544</v>
      </c>
      <c r="Z30" s="159">
        <v>2545</v>
      </c>
      <c r="AA30" s="291">
        <v>2553</v>
      </c>
      <c r="AB30" s="159">
        <v>2546</v>
      </c>
      <c r="AC30" s="291">
        <v>2546</v>
      </c>
      <c r="AD30" s="291">
        <v>2526</v>
      </c>
      <c r="AE30" s="214">
        <v>1435</v>
      </c>
      <c r="AF30" s="202">
        <v>1460</v>
      </c>
      <c r="AG30" s="202">
        <v>1460</v>
      </c>
      <c r="AH30" s="202">
        <v>1487</v>
      </c>
      <c r="AI30" s="202">
        <v>1629</v>
      </c>
      <c r="AJ30" s="202">
        <v>1630</v>
      </c>
      <c r="AK30" s="202">
        <v>1630</v>
      </c>
      <c r="AL30" s="202">
        <v>1629</v>
      </c>
      <c r="AM30" s="298">
        <v>1639</v>
      </c>
      <c r="AN30" s="298">
        <v>1657</v>
      </c>
      <c r="AO30" s="298">
        <v>1639</v>
      </c>
      <c r="AP30" s="298">
        <v>1639</v>
      </c>
      <c r="AQ30" s="467">
        <v>1696</v>
      </c>
      <c r="AR30" s="423">
        <f t="shared" si="9"/>
        <v>67.141726049089471</v>
      </c>
      <c r="AS30" s="261" t="s">
        <v>45</v>
      </c>
    </row>
    <row r="31" spans="1:50" ht="12.75" customHeight="1" x14ac:dyDescent="0.2">
      <c r="A31" s="7"/>
      <c r="B31" s="9" t="s">
        <v>29</v>
      </c>
      <c r="C31" s="215">
        <v>11012</v>
      </c>
      <c r="D31" s="208">
        <v>11110</v>
      </c>
      <c r="E31" s="208">
        <v>11348</v>
      </c>
      <c r="F31" s="208">
        <v>11376</v>
      </c>
      <c r="G31" s="208">
        <v>11385</v>
      </c>
      <c r="H31" s="208">
        <v>11380</v>
      </c>
      <c r="I31" s="208">
        <v>11010</v>
      </c>
      <c r="J31" s="208">
        <v>10981</v>
      </c>
      <c r="K31" s="208">
        <v>11015</v>
      </c>
      <c r="L31" s="208">
        <v>11015</v>
      </c>
      <c r="M31" s="208">
        <v>11002</v>
      </c>
      <c r="N31" s="208">
        <v>11077</v>
      </c>
      <c r="O31" s="208">
        <v>11053</v>
      </c>
      <c r="P31" s="204">
        <v>10948</v>
      </c>
      <c r="Q31" s="208">
        <v>10781</v>
      </c>
      <c r="R31" s="204">
        <v>10777</v>
      </c>
      <c r="S31" s="204">
        <v>10777</v>
      </c>
      <c r="T31" s="204">
        <v>10776</v>
      </c>
      <c r="U31" s="204">
        <v>10777</v>
      </c>
      <c r="V31" s="204">
        <v>10777</v>
      </c>
      <c r="W31" s="204">
        <v>10777</v>
      </c>
      <c r="X31" s="204">
        <v>10768</v>
      </c>
      <c r="Y31" s="204">
        <v>10770</v>
      </c>
      <c r="Z31" s="204">
        <v>10770</v>
      </c>
      <c r="AA31" s="289">
        <v>10766</v>
      </c>
      <c r="AB31" s="204">
        <v>10766</v>
      </c>
      <c r="AC31" s="289">
        <f>10765</f>
        <v>10765</v>
      </c>
      <c r="AD31" s="289">
        <v>10759</v>
      </c>
      <c r="AE31" s="211">
        <v>3979</v>
      </c>
      <c r="AF31" s="212">
        <v>3974</v>
      </c>
      <c r="AG31" s="212">
        <v>4002</v>
      </c>
      <c r="AH31" s="212">
        <v>4031</v>
      </c>
      <c r="AI31" s="212">
        <v>4032</v>
      </c>
      <c r="AJ31" s="212">
        <v>4032</v>
      </c>
      <c r="AK31" s="212">
        <v>4029</v>
      </c>
      <c r="AL31" s="212">
        <v>4029</v>
      </c>
      <c r="AM31" s="300">
        <v>4030</v>
      </c>
      <c r="AN31" s="300">
        <v>4030</v>
      </c>
      <c r="AO31" s="300">
        <v>4030</v>
      </c>
      <c r="AP31" s="300">
        <v>4029</v>
      </c>
      <c r="AQ31" s="466">
        <v>4029</v>
      </c>
      <c r="AR31" s="422">
        <f t="shared" si="9"/>
        <v>37.447718189422808</v>
      </c>
      <c r="AS31" s="262" t="s">
        <v>29</v>
      </c>
    </row>
    <row r="32" spans="1:50" ht="12.75" customHeight="1" x14ac:dyDescent="0.2">
      <c r="A32" s="7"/>
      <c r="B32" s="38" t="s">
        <v>31</v>
      </c>
      <c r="C32" s="214">
        <v>1055</v>
      </c>
      <c r="D32" s="202">
        <v>1058</v>
      </c>
      <c r="E32" s="202">
        <v>1196</v>
      </c>
      <c r="F32" s="159">
        <v>1201</v>
      </c>
      <c r="G32" s="159">
        <v>1201</v>
      </c>
      <c r="H32" s="159">
        <v>1201</v>
      </c>
      <c r="I32" s="159">
        <v>1201</v>
      </c>
      <c r="J32" s="159">
        <v>1201</v>
      </c>
      <c r="K32" s="159">
        <v>1201</v>
      </c>
      <c r="L32" s="159">
        <v>1229</v>
      </c>
      <c r="M32" s="159">
        <v>1229</v>
      </c>
      <c r="N32" s="159">
        <v>1229</v>
      </c>
      <c r="O32" s="159">
        <v>1229</v>
      </c>
      <c r="P32" s="159">
        <v>1228</v>
      </c>
      <c r="Q32" s="159">
        <v>1228</v>
      </c>
      <c r="R32" s="159">
        <v>1228</v>
      </c>
      <c r="S32" s="159">
        <v>1228</v>
      </c>
      <c r="T32" s="159">
        <v>1228</v>
      </c>
      <c r="U32" s="159">
        <v>1228</v>
      </c>
      <c r="V32" s="159">
        <v>1209</v>
      </c>
      <c r="W32" s="159">
        <v>1209</v>
      </c>
      <c r="X32" s="159">
        <v>1209</v>
      </c>
      <c r="Y32" s="159">
        <v>1208</v>
      </c>
      <c r="Z32" s="159">
        <v>1209</v>
      </c>
      <c r="AA32" s="291">
        <v>1209</v>
      </c>
      <c r="AB32" s="159">
        <v>1209</v>
      </c>
      <c r="AC32" s="291">
        <v>1209</v>
      </c>
      <c r="AD32" s="291">
        <v>1209</v>
      </c>
      <c r="AE32" s="214">
        <v>503</v>
      </c>
      <c r="AF32" s="202">
        <v>503</v>
      </c>
      <c r="AG32" s="202">
        <v>503</v>
      </c>
      <c r="AH32" s="202">
        <v>503</v>
      </c>
      <c r="AI32" s="202">
        <v>500</v>
      </c>
      <c r="AJ32" s="202">
        <v>500</v>
      </c>
      <c r="AK32" s="202">
        <v>500</v>
      </c>
      <c r="AL32" s="202">
        <v>500</v>
      </c>
      <c r="AM32" s="298">
        <v>500</v>
      </c>
      <c r="AN32" s="298">
        <v>500</v>
      </c>
      <c r="AO32" s="298">
        <v>610</v>
      </c>
      <c r="AP32" s="298">
        <v>610</v>
      </c>
      <c r="AQ32" s="467">
        <v>610</v>
      </c>
      <c r="AR32" s="423">
        <f t="shared" si="9"/>
        <v>50.454921422663354</v>
      </c>
      <c r="AS32" s="261" t="s">
        <v>31</v>
      </c>
    </row>
    <row r="33" spans="1:45" ht="12.75" customHeight="1" x14ac:dyDescent="0.2">
      <c r="A33" s="7"/>
      <c r="B33" s="9" t="s">
        <v>30</v>
      </c>
      <c r="C33" s="215"/>
      <c r="D33" s="208"/>
      <c r="E33" s="208">
        <v>3660</v>
      </c>
      <c r="F33" s="208">
        <v>3665</v>
      </c>
      <c r="G33" s="208">
        <v>3673</v>
      </c>
      <c r="H33" s="208">
        <v>3673</v>
      </c>
      <c r="I33" s="208">
        <v>3665</v>
      </c>
      <c r="J33" s="208">
        <v>3665</v>
      </c>
      <c r="K33" s="208">
        <v>3662</v>
      </c>
      <c r="L33" s="208">
        <v>3662</v>
      </c>
      <c r="M33" s="208">
        <v>3657</v>
      </c>
      <c r="N33" s="208">
        <v>3657</v>
      </c>
      <c r="O33" s="208">
        <v>3660</v>
      </c>
      <c r="P33" s="204">
        <v>3658</v>
      </c>
      <c r="Q33" s="208">
        <v>3658</v>
      </c>
      <c r="R33" s="204">
        <v>3629</v>
      </c>
      <c r="S33" s="204">
        <v>3623</v>
      </c>
      <c r="T33" s="204">
        <v>3623</v>
      </c>
      <c r="U33" s="204">
        <v>3622</v>
      </c>
      <c r="V33" s="204">
        <v>3624</v>
      </c>
      <c r="W33" s="204">
        <v>3631</v>
      </c>
      <c r="X33" s="204">
        <v>3631</v>
      </c>
      <c r="Y33" s="204">
        <v>3627</v>
      </c>
      <c r="Z33" s="204">
        <v>3626</v>
      </c>
      <c r="AA33" s="289">
        <v>3626</v>
      </c>
      <c r="AB33" s="204">
        <v>3626</v>
      </c>
      <c r="AC33" s="289">
        <v>3627</v>
      </c>
      <c r="AD33" s="289">
        <v>3629</v>
      </c>
      <c r="AE33" s="211">
        <v>1578</v>
      </c>
      <c r="AF33" s="212">
        <v>1577</v>
      </c>
      <c r="AG33" s="212">
        <v>1577</v>
      </c>
      <c r="AH33" s="212">
        <v>1578</v>
      </c>
      <c r="AI33" s="212">
        <v>1578</v>
      </c>
      <c r="AJ33" s="212">
        <v>1586</v>
      </c>
      <c r="AK33" s="212">
        <v>1586</v>
      </c>
      <c r="AL33" s="212">
        <v>1586</v>
      </c>
      <c r="AM33" s="300">
        <v>1587</v>
      </c>
      <c r="AN33" s="300">
        <v>1587</v>
      </c>
      <c r="AO33" s="300">
        <v>1588</v>
      </c>
      <c r="AP33" s="300">
        <v>1587</v>
      </c>
      <c r="AQ33" s="466">
        <v>1587</v>
      </c>
      <c r="AR33" s="422">
        <f t="shared" si="9"/>
        <v>43.731055387158996</v>
      </c>
      <c r="AS33" s="262" t="s">
        <v>30</v>
      </c>
    </row>
    <row r="34" spans="1:45" ht="12.75" customHeight="1" x14ac:dyDescent="0.2">
      <c r="A34" s="7"/>
      <c r="B34" s="38" t="s">
        <v>46</v>
      </c>
      <c r="C34" s="214">
        <v>5804</v>
      </c>
      <c r="D34" s="202">
        <v>6075</v>
      </c>
      <c r="E34" s="202">
        <v>5867</v>
      </c>
      <c r="F34" s="202">
        <v>5880</v>
      </c>
      <c r="G34" s="202">
        <v>5859</v>
      </c>
      <c r="H34" s="202">
        <v>5865</v>
      </c>
      <c r="I34" s="202">
        <v>5867</v>
      </c>
      <c r="J34" s="202">
        <v>5836</v>
      </c>
      <c r="K34" s="202">
        <v>5854</v>
      </c>
      <c r="L34" s="202">
        <v>5850</v>
      </c>
      <c r="M34" s="202">
        <v>5850</v>
      </c>
      <c r="N34" s="202">
        <v>5851</v>
      </c>
      <c r="O34" s="202">
        <v>5741</v>
      </c>
      <c r="P34" s="159">
        <v>5732</v>
      </c>
      <c r="Q34" s="202">
        <v>5905</v>
      </c>
      <c r="R34" s="159">
        <v>5899</v>
      </c>
      <c r="S34" s="159">
        <v>5919</v>
      </c>
      <c r="T34" s="159">
        <v>5919</v>
      </c>
      <c r="U34" s="159">
        <v>5919</v>
      </c>
      <c r="V34" s="159">
        <v>5944</v>
      </c>
      <c r="W34" s="159">
        <v>5944</v>
      </c>
      <c r="X34" s="159">
        <v>5944</v>
      </c>
      <c r="Y34" s="159">
        <v>5944</v>
      </c>
      <c r="Z34" s="159">
        <v>5923</v>
      </c>
      <c r="AA34" s="291">
        <v>5926</v>
      </c>
      <c r="AB34" s="159">
        <v>5926</v>
      </c>
      <c r="AC34" s="291">
        <v>5925</v>
      </c>
      <c r="AD34" s="291">
        <v>5923</v>
      </c>
      <c r="AE34" s="214">
        <v>3047</v>
      </c>
      <c r="AF34" s="202">
        <v>3067</v>
      </c>
      <c r="AG34" s="202">
        <v>3067</v>
      </c>
      <c r="AH34" s="202">
        <v>3073</v>
      </c>
      <c r="AI34" s="202">
        <v>3172</v>
      </c>
      <c r="AJ34" s="202">
        <v>3172</v>
      </c>
      <c r="AK34" s="202">
        <v>3172</v>
      </c>
      <c r="AL34" s="202">
        <v>3256</v>
      </c>
      <c r="AM34" s="298">
        <v>3262</v>
      </c>
      <c r="AN34" s="298">
        <v>3270</v>
      </c>
      <c r="AO34" s="298">
        <v>3284</v>
      </c>
      <c r="AP34" s="298">
        <v>3330</v>
      </c>
      <c r="AQ34" s="467">
        <v>3331</v>
      </c>
      <c r="AR34" s="423">
        <f t="shared" si="9"/>
        <v>56.238392706398784</v>
      </c>
      <c r="AS34" s="261" t="s">
        <v>46</v>
      </c>
    </row>
    <row r="35" spans="1:45" ht="12.75" customHeight="1" x14ac:dyDescent="0.2">
      <c r="A35" s="7"/>
      <c r="B35" s="11" t="s">
        <v>47</v>
      </c>
      <c r="C35" s="227">
        <v>12203</v>
      </c>
      <c r="D35" s="228">
        <v>12006</v>
      </c>
      <c r="E35" s="228">
        <v>11193</v>
      </c>
      <c r="F35" s="228">
        <v>10925</v>
      </c>
      <c r="G35" s="228">
        <v>10964</v>
      </c>
      <c r="H35" s="228">
        <v>10941</v>
      </c>
      <c r="I35" s="228">
        <v>10997</v>
      </c>
      <c r="J35" s="228">
        <v>11044</v>
      </c>
      <c r="K35" s="228">
        <v>11037</v>
      </c>
      <c r="L35" s="228">
        <v>11021</v>
      </c>
      <c r="M35" s="228">
        <v>11095</v>
      </c>
      <c r="N35" s="228">
        <v>11037</v>
      </c>
      <c r="O35" s="228">
        <v>11050</v>
      </c>
      <c r="P35" s="210">
        <v>11017</v>
      </c>
      <c r="Q35" s="228">
        <v>11020</v>
      </c>
      <c r="R35" s="210">
        <v>10972</v>
      </c>
      <c r="S35" s="210">
        <v>11032</v>
      </c>
      <c r="T35" s="210">
        <v>11138</v>
      </c>
      <c r="U35" s="210">
        <v>11160</v>
      </c>
      <c r="V35" s="210">
        <v>11206</v>
      </c>
      <c r="W35" s="210">
        <v>11136</v>
      </c>
      <c r="X35" s="210">
        <v>10957</v>
      </c>
      <c r="Y35" s="210">
        <v>10881</v>
      </c>
      <c r="Z35" s="210">
        <v>10908</v>
      </c>
      <c r="AA35" s="210">
        <v>10882</v>
      </c>
      <c r="AB35" s="210">
        <v>10874</v>
      </c>
      <c r="AC35" s="210">
        <v>10906</v>
      </c>
      <c r="AD35" s="210">
        <v>10899</v>
      </c>
      <c r="AE35" s="227">
        <v>7848</v>
      </c>
      <c r="AF35" s="228">
        <v>7867</v>
      </c>
      <c r="AG35" s="228">
        <v>7963</v>
      </c>
      <c r="AH35" s="228">
        <v>7965</v>
      </c>
      <c r="AI35" s="228">
        <v>8119</v>
      </c>
      <c r="AJ35" s="228">
        <v>8194</v>
      </c>
      <c r="AK35" s="228">
        <v>8214</v>
      </c>
      <c r="AL35" s="228">
        <v>8232</v>
      </c>
      <c r="AM35" s="228">
        <v>8235</v>
      </c>
      <c r="AN35" s="228">
        <v>8184</v>
      </c>
      <c r="AO35" s="228">
        <v>8189</v>
      </c>
      <c r="AP35" s="228">
        <v>8217</v>
      </c>
      <c r="AQ35" s="470">
        <v>8185</v>
      </c>
      <c r="AR35" s="424">
        <f t="shared" si="9"/>
        <v>75.098632902101116</v>
      </c>
      <c r="AS35" s="126" t="s">
        <v>47</v>
      </c>
    </row>
    <row r="36" spans="1:45" ht="12.75" customHeight="1" x14ac:dyDescent="0.2">
      <c r="A36" s="7"/>
      <c r="B36" s="163" t="s">
        <v>36</v>
      </c>
      <c r="C36" s="232">
        <v>19330</v>
      </c>
      <c r="D36" s="233">
        <v>18030</v>
      </c>
      <c r="E36" s="233">
        <v>16914</v>
      </c>
      <c r="F36" s="233">
        <v>17069</v>
      </c>
      <c r="G36" s="233">
        <v>17066</v>
      </c>
      <c r="H36" s="233">
        <v>17176</v>
      </c>
      <c r="I36" s="233">
        <v>17179</v>
      </c>
      <c r="J36" s="233">
        <v>17064</v>
      </c>
      <c r="K36" s="233">
        <v>17044</v>
      </c>
      <c r="L36" s="233">
        <v>17052</v>
      </c>
      <c r="M36" s="233">
        <v>17052</v>
      </c>
      <c r="N36" s="233">
        <v>17052</v>
      </c>
      <c r="O36" s="233">
        <f>58+340+16116</f>
        <v>16514</v>
      </c>
      <c r="P36" s="297">
        <f>58+340+15810</f>
        <v>16208</v>
      </c>
      <c r="Q36" s="233">
        <f>15795+340+58</f>
        <v>16193</v>
      </c>
      <c r="R36" s="297">
        <f>15814+340+58</f>
        <v>16212</v>
      </c>
      <c r="S36" s="297">
        <f>15814+340+58</f>
        <v>16212</v>
      </c>
      <c r="T36" s="297">
        <f>58+15753+340</f>
        <v>16151</v>
      </c>
      <c r="U36" s="297">
        <f>15777+340+58</f>
        <v>16175</v>
      </c>
      <c r="V36" s="297">
        <f>15738+58+338+274</f>
        <v>16408</v>
      </c>
      <c r="W36" s="297">
        <f>15753+338+274+58</f>
        <v>16423</v>
      </c>
      <c r="X36" s="297">
        <f>15753+274+58+338</f>
        <v>16423</v>
      </c>
      <c r="Y36" s="297">
        <v>16209</v>
      </c>
      <c r="Z36" s="297">
        <v>16209</v>
      </c>
      <c r="AA36" s="297">
        <v>16253</v>
      </c>
      <c r="AB36" s="297">
        <v>16320</v>
      </c>
      <c r="AC36" s="297">
        <f>113+15848+333</f>
        <v>16294</v>
      </c>
      <c r="AD36" s="297">
        <v>16346</v>
      </c>
      <c r="AE36" s="232">
        <f>5255+58</f>
        <v>5313</v>
      </c>
      <c r="AF36" s="233">
        <v>5318</v>
      </c>
      <c r="AG36" s="233">
        <f>58+5249</f>
        <v>5307</v>
      </c>
      <c r="AH36" s="233">
        <f>5262+58</f>
        <v>5320</v>
      </c>
      <c r="AI36" s="233">
        <f>5261+58+274</f>
        <v>5593</v>
      </c>
      <c r="AJ36" s="233">
        <f>5265+274+58</f>
        <v>5597</v>
      </c>
      <c r="AK36" s="233">
        <f>5268+274+58</f>
        <v>5600</v>
      </c>
      <c r="AL36" s="233">
        <f>Y36*33/100</f>
        <v>5348.97</v>
      </c>
      <c r="AM36" s="427">
        <f>Z36*33.2/100</f>
        <v>5381.3880000000008</v>
      </c>
      <c r="AN36" s="233">
        <v>5483</v>
      </c>
      <c r="AO36" s="233">
        <v>5875</v>
      </c>
      <c r="AP36" s="233">
        <f>113+6012</f>
        <v>6125</v>
      </c>
      <c r="AQ36" s="471">
        <v>6158</v>
      </c>
      <c r="AR36" s="425">
        <f t="shared" si="9"/>
        <v>37.672825156001466</v>
      </c>
      <c r="AS36" s="164" t="s">
        <v>36</v>
      </c>
    </row>
    <row r="37" spans="1:45" ht="12.75" customHeight="1" x14ac:dyDescent="0.2">
      <c r="A37" s="7"/>
      <c r="B37" s="9" t="s">
        <v>91</v>
      </c>
      <c r="C37" s="215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>
        <v>249</v>
      </c>
      <c r="P37" s="289">
        <v>248</v>
      </c>
      <c r="Q37" s="299">
        <v>248</v>
      </c>
      <c r="R37" s="289">
        <v>248</v>
      </c>
      <c r="S37" s="289">
        <v>249</v>
      </c>
      <c r="T37" s="289">
        <v>249</v>
      </c>
      <c r="U37" s="289">
        <v>249</v>
      </c>
      <c r="V37" s="289">
        <v>249</v>
      </c>
      <c r="W37" s="289">
        <v>248.76</v>
      </c>
      <c r="X37" s="289">
        <v>248.76</v>
      </c>
      <c r="Y37" s="289">
        <v>250</v>
      </c>
      <c r="Z37" s="289">
        <v>250</v>
      </c>
      <c r="AA37" s="289">
        <v>250</v>
      </c>
      <c r="AB37" s="289">
        <v>250</v>
      </c>
      <c r="AC37" s="289">
        <v>249</v>
      </c>
      <c r="AD37" s="289">
        <v>249</v>
      </c>
      <c r="AE37" s="215">
        <v>167</v>
      </c>
      <c r="AF37" s="299">
        <v>168</v>
      </c>
      <c r="AG37" s="299">
        <v>168</v>
      </c>
      <c r="AH37" s="299">
        <v>168</v>
      </c>
      <c r="AI37" s="299">
        <v>224.06</v>
      </c>
      <c r="AJ37" s="299">
        <v>224.06</v>
      </c>
      <c r="AK37" s="299">
        <v>224.06</v>
      </c>
      <c r="AL37" s="299">
        <v>224</v>
      </c>
      <c r="AM37" s="299">
        <v>224</v>
      </c>
      <c r="AN37" s="299">
        <v>223.8</v>
      </c>
      <c r="AO37" s="299">
        <v>223.8</v>
      </c>
      <c r="AP37" s="299">
        <v>224</v>
      </c>
      <c r="AQ37" s="472">
        <v>224</v>
      </c>
      <c r="AR37" s="422">
        <f t="shared" si="9"/>
        <v>89.959839357429715</v>
      </c>
      <c r="AS37" s="262" t="s">
        <v>91</v>
      </c>
    </row>
    <row r="38" spans="1:45" ht="12.75" customHeight="1" x14ac:dyDescent="0.2">
      <c r="A38" s="7"/>
      <c r="B38" s="155" t="s">
        <v>0</v>
      </c>
      <c r="C38" s="224"/>
      <c r="D38" s="304">
        <v>673</v>
      </c>
      <c r="E38" s="304">
        <v>696</v>
      </c>
      <c r="F38" s="304">
        <v>699</v>
      </c>
      <c r="G38" s="304">
        <v>699</v>
      </c>
      <c r="H38" s="304">
        <v>699</v>
      </c>
      <c r="I38" s="304">
        <v>699</v>
      </c>
      <c r="J38" s="304">
        <v>699</v>
      </c>
      <c r="K38" s="304">
        <v>699</v>
      </c>
      <c r="L38" s="304">
        <v>699</v>
      </c>
      <c r="M38" s="304">
        <v>699</v>
      </c>
      <c r="N38" s="304">
        <v>699</v>
      </c>
      <c r="O38" s="304">
        <v>699</v>
      </c>
      <c r="P38" s="295">
        <v>699</v>
      </c>
      <c r="Q38" s="304">
        <v>699</v>
      </c>
      <c r="R38" s="295">
        <v>699</v>
      </c>
      <c r="S38" s="295">
        <v>699</v>
      </c>
      <c r="T38" s="295">
        <v>699</v>
      </c>
      <c r="U38" s="295">
        <v>699</v>
      </c>
      <c r="V38" s="295">
        <v>699</v>
      </c>
      <c r="W38" s="295">
        <v>699</v>
      </c>
      <c r="X38" s="295">
        <v>699</v>
      </c>
      <c r="Y38" s="295">
        <v>699</v>
      </c>
      <c r="Z38" s="295">
        <v>699</v>
      </c>
      <c r="AA38" s="295">
        <v>683</v>
      </c>
      <c r="AB38" s="295">
        <v>683</v>
      </c>
      <c r="AC38" s="295">
        <v>683</v>
      </c>
      <c r="AD38" s="295">
        <v>683</v>
      </c>
      <c r="AE38" s="224">
        <v>234</v>
      </c>
      <c r="AF38" s="304">
        <v>234</v>
      </c>
      <c r="AG38" s="304">
        <v>234</v>
      </c>
      <c r="AH38" s="304">
        <v>234</v>
      </c>
      <c r="AI38" s="304">
        <v>234</v>
      </c>
      <c r="AJ38" s="304">
        <v>234</v>
      </c>
      <c r="AK38" s="304">
        <v>234</v>
      </c>
      <c r="AL38" s="304">
        <v>234</v>
      </c>
      <c r="AM38" s="304">
        <v>234</v>
      </c>
      <c r="AN38" s="304">
        <v>234</v>
      </c>
      <c r="AO38" s="304">
        <v>234</v>
      </c>
      <c r="AP38" s="304">
        <v>234</v>
      </c>
      <c r="AQ38" s="473">
        <v>234</v>
      </c>
      <c r="AR38" s="426">
        <f t="shared" si="9"/>
        <v>34.260614934114201</v>
      </c>
      <c r="AS38" s="263" t="s">
        <v>0</v>
      </c>
    </row>
    <row r="39" spans="1:45" ht="12.75" customHeight="1" x14ac:dyDescent="0.2">
      <c r="A39" s="7"/>
      <c r="B39" s="9" t="s">
        <v>93</v>
      </c>
      <c r="C39" s="215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89"/>
      <c r="Q39" s="299"/>
      <c r="R39" s="289"/>
      <c r="S39" s="289"/>
      <c r="T39" s="289">
        <v>423</v>
      </c>
      <c r="U39" s="161">
        <v>423</v>
      </c>
      <c r="V39" s="161">
        <v>423</v>
      </c>
      <c r="W39" s="161">
        <v>423</v>
      </c>
      <c r="X39" s="161">
        <v>423</v>
      </c>
      <c r="Y39" s="161">
        <v>423</v>
      </c>
      <c r="Z39" s="161">
        <v>423</v>
      </c>
      <c r="AA39" s="161">
        <v>423</v>
      </c>
      <c r="AB39" s="161">
        <v>423</v>
      </c>
      <c r="AC39" s="161">
        <v>423</v>
      </c>
      <c r="AD39" s="161">
        <v>423</v>
      </c>
      <c r="AE39" s="215"/>
      <c r="AF39" s="299"/>
      <c r="AG39" s="299">
        <v>0</v>
      </c>
      <c r="AH39" s="317">
        <v>0</v>
      </c>
      <c r="AI39" s="317">
        <v>0</v>
      </c>
      <c r="AJ39" s="317">
        <v>0</v>
      </c>
      <c r="AK39" s="317">
        <v>0</v>
      </c>
      <c r="AL39" s="317">
        <v>0</v>
      </c>
      <c r="AM39" s="317">
        <v>0</v>
      </c>
      <c r="AN39" s="317">
        <v>0</v>
      </c>
      <c r="AO39" s="317">
        <v>0</v>
      </c>
      <c r="AP39" s="317">
        <v>0</v>
      </c>
      <c r="AQ39" s="474">
        <v>0</v>
      </c>
      <c r="AR39" s="422">
        <f t="shared" si="9"/>
        <v>0</v>
      </c>
      <c r="AS39" s="262" t="s">
        <v>93</v>
      </c>
    </row>
    <row r="40" spans="1:45" ht="12.75" customHeight="1" x14ac:dyDescent="0.2">
      <c r="A40" s="7"/>
      <c r="B40" s="155" t="s">
        <v>92</v>
      </c>
      <c r="C40" s="224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>
        <v>3809</v>
      </c>
      <c r="O40" s="162">
        <v>3809</v>
      </c>
      <c r="P40" s="162">
        <v>3809</v>
      </c>
      <c r="Q40" s="225">
        <v>3809</v>
      </c>
      <c r="R40" s="162">
        <v>3809</v>
      </c>
      <c r="S40" s="162">
        <v>3809</v>
      </c>
      <c r="T40" s="162">
        <v>3809</v>
      </c>
      <c r="U40" s="162">
        <v>3809</v>
      </c>
      <c r="V40" s="162">
        <v>3809</v>
      </c>
      <c r="W40" s="162">
        <v>3809</v>
      </c>
      <c r="X40" s="162">
        <v>3809</v>
      </c>
      <c r="Y40" s="162">
        <v>3809</v>
      </c>
      <c r="Z40" s="162">
        <v>3739</v>
      </c>
      <c r="AA40" s="295">
        <v>3739</v>
      </c>
      <c r="AB40" s="162">
        <v>3736</v>
      </c>
      <c r="AC40" s="295">
        <v>3724</v>
      </c>
      <c r="AD40" s="295">
        <v>3724</v>
      </c>
      <c r="AE40" s="224">
        <v>1254</v>
      </c>
      <c r="AF40" s="225">
        <v>1254</v>
      </c>
      <c r="AG40" s="225">
        <v>1254</v>
      </c>
      <c r="AH40" s="225">
        <v>1278</v>
      </c>
      <c r="AI40" s="225">
        <v>1279</v>
      </c>
      <c r="AJ40" s="225">
        <v>1279</v>
      </c>
      <c r="AK40" s="225">
        <v>1275</v>
      </c>
      <c r="AL40" s="225">
        <v>1275</v>
      </c>
      <c r="AM40" s="304">
        <v>1279</v>
      </c>
      <c r="AN40" s="304">
        <v>1279</v>
      </c>
      <c r="AO40" s="304">
        <v>1279</v>
      </c>
      <c r="AP40" s="304">
        <v>1273</v>
      </c>
      <c r="AQ40" s="473">
        <v>1273</v>
      </c>
      <c r="AR40" s="426">
        <f t="shared" si="9"/>
        <v>34.183673469387756</v>
      </c>
      <c r="AS40" s="263" t="s">
        <v>92</v>
      </c>
    </row>
    <row r="41" spans="1:45" ht="12.75" customHeight="1" x14ac:dyDescent="0.2">
      <c r="A41" s="7"/>
      <c r="B41" s="11" t="s">
        <v>32</v>
      </c>
      <c r="C41" s="227">
        <v>7985</v>
      </c>
      <c r="D41" s="228">
        <v>8387</v>
      </c>
      <c r="E41" s="228">
        <v>8429</v>
      </c>
      <c r="F41" s="228">
        <v>8549</v>
      </c>
      <c r="G41" s="228">
        <v>8607</v>
      </c>
      <c r="H41" s="228">
        <v>8607</v>
      </c>
      <c r="I41" s="228">
        <v>8607</v>
      </c>
      <c r="J41" s="228">
        <v>8682</v>
      </c>
      <c r="K41" s="228">
        <v>8671</v>
      </c>
      <c r="L41" s="228">
        <v>8671</v>
      </c>
      <c r="M41" s="228">
        <v>8671</v>
      </c>
      <c r="N41" s="228">
        <v>8697</v>
      </c>
      <c r="O41" s="228">
        <v>8697</v>
      </c>
      <c r="P41" s="210">
        <v>8697</v>
      </c>
      <c r="Q41" s="228">
        <v>8697</v>
      </c>
      <c r="R41" s="210">
        <v>8697</v>
      </c>
      <c r="S41" s="210">
        <v>8699</v>
      </c>
      <c r="T41" s="210">
        <v>9080</v>
      </c>
      <c r="U41" s="204">
        <v>9594</v>
      </c>
      <c r="V41" s="204">
        <v>9642</v>
      </c>
      <c r="W41" s="204">
        <v>9642</v>
      </c>
      <c r="X41" s="204">
        <v>9718</v>
      </c>
      <c r="Y41" s="204">
        <v>10087</v>
      </c>
      <c r="Z41" s="204">
        <v>10131</v>
      </c>
      <c r="AA41" s="289">
        <v>10131</v>
      </c>
      <c r="AB41" s="204">
        <v>10207</v>
      </c>
      <c r="AC41" s="289">
        <v>10417</v>
      </c>
      <c r="AD41" s="289">
        <v>10378</v>
      </c>
      <c r="AE41" s="215">
        <v>1920</v>
      </c>
      <c r="AF41" s="208">
        <v>1928</v>
      </c>
      <c r="AG41" s="208">
        <v>2313</v>
      </c>
      <c r="AH41" s="208">
        <v>2791</v>
      </c>
      <c r="AI41" s="208">
        <v>2789</v>
      </c>
      <c r="AJ41" s="208">
        <v>2840</v>
      </c>
      <c r="AK41" s="208">
        <v>2922</v>
      </c>
      <c r="AL41" s="208">
        <v>3330</v>
      </c>
      <c r="AM41" s="299">
        <v>3423</v>
      </c>
      <c r="AN41" s="299">
        <v>3856</v>
      </c>
      <c r="AO41" s="228">
        <v>4166</v>
      </c>
      <c r="AP41" s="228">
        <v>4896</v>
      </c>
      <c r="AQ41" s="470">
        <v>5070</v>
      </c>
      <c r="AR41" s="424">
        <f t="shared" si="9"/>
        <v>48.853343611485833</v>
      </c>
      <c r="AS41" s="126" t="s">
        <v>32</v>
      </c>
    </row>
    <row r="42" spans="1:45" ht="12.75" customHeight="1" x14ac:dyDescent="0.2">
      <c r="A42" s="7"/>
      <c r="B42" s="155" t="s">
        <v>18</v>
      </c>
      <c r="C42" s="207" t="s">
        <v>50</v>
      </c>
      <c r="D42" s="229" t="s">
        <v>50</v>
      </c>
      <c r="E42" s="230" t="s">
        <v>50</v>
      </c>
      <c r="F42" s="230" t="s">
        <v>50</v>
      </c>
      <c r="G42" s="229" t="s">
        <v>50</v>
      </c>
      <c r="H42" s="229" t="s">
        <v>50</v>
      </c>
      <c r="I42" s="229" t="s">
        <v>50</v>
      </c>
      <c r="J42" s="229" t="s">
        <v>50</v>
      </c>
      <c r="K42" s="229" t="s">
        <v>50</v>
      </c>
      <c r="L42" s="229" t="s">
        <v>50</v>
      </c>
      <c r="M42" s="229" t="s">
        <v>50</v>
      </c>
      <c r="N42" s="229" t="s">
        <v>50</v>
      </c>
      <c r="O42" s="230" t="s">
        <v>50</v>
      </c>
      <c r="P42" s="230" t="s">
        <v>50</v>
      </c>
      <c r="Q42" s="230" t="s">
        <v>50</v>
      </c>
      <c r="R42" s="230" t="s">
        <v>50</v>
      </c>
      <c r="S42" s="230" t="s">
        <v>50</v>
      </c>
      <c r="T42" s="230" t="s">
        <v>50</v>
      </c>
      <c r="U42" s="230" t="s">
        <v>50</v>
      </c>
      <c r="V42" s="230" t="s">
        <v>50</v>
      </c>
      <c r="W42" s="230" t="s">
        <v>50</v>
      </c>
      <c r="X42" s="230" t="s">
        <v>50</v>
      </c>
      <c r="Y42" s="230" t="s">
        <v>50</v>
      </c>
      <c r="Z42" s="230" t="s">
        <v>50</v>
      </c>
      <c r="AA42" s="306" t="s">
        <v>50</v>
      </c>
      <c r="AB42" s="306" t="s">
        <v>50</v>
      </c>
      <c r="AC42" s="306"/>
      <c r="AD42" s="306"/>
      <c r="AE42" s="231" t="s">
        <v>50</v>
      </c>
      <c r="AF42" s="230" t="s">
        <v>50</v>
      </c>
      <c r="AG42" s="230" t="s">
        <v>50</v>
      </c>
      <c r="AH42" s="230" t="s">
        <v>50</v>
      </c>
      <c r="AI42" s="230" t="s">
        <v>50</v>
      </c>
      <c r="AJ42" s="230" t="s">
        <v>50</v>
      </c>
      <c r="AK42" s="230" t="s">
        <v>50</v>
      </c>
      <c r="AL42" s="230" t="s">
        <v>50</v>
      </c>
      <c r="AM42" s="306" t="s">
        <v>50</v>
      </c>
      <c r="AN42" s="306" t="s">
        <v>50</v>
      </c>
      <c r="AO42" s="291" t="s">
        <v>50</v>
      </c>
      <c r="AP42" s="291" t="s">
        <v>50</v>
      </c>
      <c r="AQ42" s="475" t="s">
        <v>50</v>
      </c>
      <c r="AR42" s="196" t="s">
        <v>50</v>
      </c>
      <c r="AS42" s="263" t="s">
        <v>18</v>
      </c>
    </row>
    <row r="43" spans="1:45" ht="12.75" customHeight="1" x14ac:dyDescent="0.2">
      <c r="A43" s="7"/>
      <c r="B43" s="9" t="s">
        <v>48</v>
      </c>
      <c r="C43" s="215">
        <v>4242</v>
      </c>
      <c r="D43" s="208">
        <v>4242</v>
      </c>
      <c r="E43" s="208">
        <v>4044</v>
      </c>
      <c r="F43" s="208">
        <v>4023</v>
      </c>
      <c r="G43" s="208">
        <v>4152</v>
      </c>
      <c r="H43" s="208">
        <v>4152</v>
      </c>
      <c r="I43" s="208">
        <v>4152</v>
      </c>
      <c r="J43" s="208">
        <v>4021</v>
      </c>
      <c r="K43" s="208">
        <v>4179</v>
      </c>
      <c r="L43" s="208">
        <v>4178</v>
      </c>
      <c r="M43" s="208">
        <v>4077</v>
      </c>
      <c r="N43" s="208">
        <v>4077</v>
      </c>
      <c r="O43" s="208">
        <v>4077</v>
      </c>
      <c r="P43" s="204">
        <v>4114</v>
      </c>
      <c r="Q43" s="208">
        <v>4114</v>
      </c>
      <c r="R43" s="204">
        <v>4114</v>
      </c>
      <c r="S43" s="204">
        <v>4114</v>
      </c>
      <c r="T43" s="204">
        <v>3910</v>
      </c>
      <c r="U43" s="204">
        <v>3958</v>
      </c>
      <c r="V43" s="204">
        <v>3910</v>
      </c>
      <c r="W43" s="204">
        <v>3891</v>
      </c>
      <c r="X43" s="204">
        <v>3897</v>
      </c>
      <c r="Y43" s="204">
        <v>3906</v>
      </c>
      <c r="Z43" s="204">
        <v>3896</v>
      </c>
      <c r="AA43" s="289">
        <v>3895</v>
      </c>
      <c r="AB43" s="289">
        <v>3895</v>
      </c>
      <c r="AC43" s="299">
        <v>3887</v>
      </c>
      <c r="AD43" s="299">
        <v>3890</v>
      </c>
      <c r="AE43" s="215">
        <v>2552</v>
      </c>
      <c r="AF43" s="208">
        <v>2552</v>
      </c>
      <c r="AG43" s="208">
        <v>2505</v>
      </c>
      <c r="AH43" s="208">
        <v>2524</v>
      </c>
      <c r="AI43" s="208">
        <v>2516</v>
      </c>
      <c r="AJ43" s="208">
        <v>2498</v>
      </c>
      <c r="AK43" s="208">
        <v>2500</v>
      </c>
      <c r="AL43" s="208">
        <v>2470</v>
      </c>
      <c r="AM43" s="299">
        <v>2460</v>
      </c>
      <c r="AN43" s="299">
        <v>2459</v>
      </c>
      <c r="AO43" s="299">
        <v>2459</v>
      </c>
      <c r="AP43" s="284">
        <v>2480</v>
      </c>
      <c r="AQ43" s="476">
        <v>2483</v>
      </c>
      <c r="AR43" s="422">
        <f t="shared" si="9"/>
        <v>63.830334190231362</v>
      </c>
      <c r="AS43" s="262" t="s">
        <v>48</v>
      </c>
    </row>
    <row r="44" spans="1:45" ht="12.75" customHeight="1" x14ac:dyDescent="0.2">
      <c r="A44" s="7"/>
      <c r="B44" s="163" t="s">
        <v>19</v>
      </c>
      <c r="C44" s="232">
        <v>3161</v>
      </c>
      <c r="D44" s="233">
        <v>3178</v>
      </c>
      <c r="E44" s="233">
        <v>3215</v>
      </c>
      <c r="F44" s="233">
        <v>3232</v>
      </c>
      <c r="G44" s="233">
        <v>3234</v>
      </c>
      <c r="H44" s="233">
        <v>3184</v>
      </c>
      <c r="I44" s="233">
        <v>3151</v>
      </c>
      <c r="J44" s="233">
        <v>3143</v>
      </c>
      <c r="K44" s="233">
        <v>3216</v>
      </c>
      <c r="L44" s="233">
        <v>3225</v>
      </c>
      <c r="M44" s="233">
        <v>3222</v>
      </c>
      <c r="N44" s="233">
        <f>2990+241</f>
        <v>3231</v>
      </c>
      <c r="O44" s="233">
        <v>3381</v>
      </c>
      <c r="P44" s="234">
        <f>241+3158</f>
        <v>3399</v>
      </c>
      <c r="Q44" s="233">
        <f>3158+405</f>
        <v>3563</v>
      </c>
      <c r="R44" s="234">
        <f>3158+405</f>
        <v>3563</v>
      </c>
      <c r="S44" s="234">
        <v>3557</v>
      </c>
      <c r="T44" s="234">
        <f>460+3139</f>
        <v>3599</v>
      </c>
      <c r="U44" s="234">
        <f>3137+460</f>
        <v>3597</v>
      </c>
      <c r="V44" s="234">
        <v>3574</v>
      </c>
      <c r="W44" s="234">
        <f>3138+413</f>
        <v>3551</v>
      </c>
      <c r="X44" s="234">
        <f>3175+413</f>
        <v>3588</v>
      </c>
      <c r="Y44" s="234">
        <f>3171+436</f>
        <v>3607</v>
      </c>
      <c r="Z44" s="234">
        <f>3172+420</f>
        <v>3592</v>
      </c>
      <c r="AA44" s="297">
        <f>3230+420</f>
        <v>3650</v>
      </c>
      <c r="AB44" s="297">
        <f>3232+420+410</f>
        <v>4062</v>
      </c>
      <c r="AC44" s="297">
        <f>420+384+3228</f>
        <v>4032</v>
      </c>
      <c r="AD44" s="297">
        <f>435+384+3236</f>
        <v>4055</v>
      </c>
      <c r="AE44" s="232">
        <f>3158+405</f>
        <v>3563</v>
      </c>
      <c r="AF44" s="233">
        <v>3557</v>
      </c>
      <c r="AG44" s="233">
        <f>460+3139</f>
        <v>3599</v>
      </c>
      <c r="AH44" s="233">
        <f>3137+436</f>
        <v>3573</v>
      </c>
      <c r="AI44" s="233">
        <f>3137+436</f>
        <v>3573</v>
      </c>
      <c r="AJ44" s="233">
        <f>3137+413</f>
        <v>3550</v>
      </c>
      <c r="AK44" s="233">
        <f>3174+413</f>
        <v>3587</v>
      </c>
      <c r="AL44" s="233">
        <f>3171+436</f>
        <v>3607</v>
      </c>
      <c r="AM44" s="233">
        <f>3171+420</f>
        <v>3591</v>
      </c>
      <c r="AN44" s="233">
        <f>3230+420</f>
        <v>3650</v>
      </c>
      <c r="AO44" s="297">
        <f>3231+420+410</f>
        <v>4061</v>
      </c>
      <c r="AP44" s="297">
        <f>420+384+3227</f>
        <v>4031</v>
      </c>
      <c r="AQ44" s="252">
        <f>435+384+3236</f>
        <v>4055</v>
      </c>
      <c r="AR44" s="425">
        <f t="shared" si="9"/>
        <v>100</v>
      </c>
      <c r="AS44" s="164" t="s">
        <v>19</v>
      </c>
    </row>
    <row r="45" spans="1:45" ht="27.75" customHeight="1" x14ac:dyDescent="0.2">
      <c r="A45" s="7"/>
      <c r="B45" s="486" t="s">
        <v>169</v>
      </c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157"/>
      <c r="AI45" s="160"/>
      <c r="AJ45" s="140"/>
      <c r="AK45" s="197"/>
      <c r="AL45" s="255"/>
      <c r="AM45" s="264"/>
      <c r="AN45" s="267"/>
      <c r="AO45" s="288"/>
      <c r="AP45" s="312"/>
      <c r="AQ45" s="412"/>
      <c r="AR45" s="355"/>
      <c r="AS45" s="140"/>
    </row>
    <row r="46" spans="1:45" ht="12.75" customHeight="1" x14ac:dyDescent="0.2">
      <c r="A46" s="7"/>
      <c r="B46" s="138" t="s">
        <v>144</v>
      </c>
      <c r="D46" s="138"/>
      <c r="E46" s="138"/>
      <c r="F46" s="138"/>
      <c r="G46" s="138"/>
      <c r="H46" s="138"/>
      <c r="I46" s="138"/>
      <c r="J46" s="138"/>
      <c r="AF46" s="310"/>
      <c r="AG46" s="21"/>
      <c r="AH46" s="21"/>
      <c r="AI46" s="21"/>
      <c r="AJ46" s="21"/>
      <c r="AK46" s="21"/>
      <c r="AL46" s="21"/>
      <c r="AM46" s="21"/>
      <c r="AN46" s="21"/>
      <c r="AO46" s="287"/>
      <c r="AP46" s="287"/>
      <c r="AQ46" s="287"/>
      <c r="AR46" s="366"/>
      <c r="AS46" s="21"/>
    </row>
    <row r="47" spans="1:45" ht="12.75" customHeight="1" x14ac:dyDescent="0.2">
      <c r="B47" s="156" t="s">
        <v>122</v>
      </c>
    </row>
    <row r="48" spans="1:45" s="284" customFormat="1" ht="12.75" customHeight="1" x14ac:dyDescent="0.2">
      <c r="B48" s="294" t="s">
        <v>170</v>
      </c>
      <c r="AR48" s="285"/>
    </row>
    <row r="49" spans="2:44" ht="12.75" customHeight="1" x14ac:dyDescent="0.2">
      <c r="B49" s="156" t="s">
        <v>96</v>
      </c>
    </row>
    <row r="50" spans="2:44" s="284" customFormat="1" ht="12.75" customHeight="1" x14ac:dyDescent="0.2">
      <c r="B50" s="508" t="s">
        <v>171</v>
      </c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R50" s="285"/>
    </row>
  </sheetData>
  <mergeCells count="5">
    <mergeCell ref="B1:C1"/>
    <mergeCell ref="B45:AG45"/>
    <mergeCell ref="B2:AR2"/>
    <mergeCell ref="B50:AC50"/>
    <mergeCell ref="AE4:AR4"/>
  </mergeCells>
  <phoneticPr fontId="11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/>
  <dimension ref="A1:O89"/>
  <sheetViews>
    <sheetView topLeftCell="A31" zoomScaleNormal="100" workbookViewId="0">
      <selection activeCell="Q25" sqref="Q25"/>
    </sheetView>
  </sheetViews>
  <sheetFormatPr defaultRowHeight="12.75" x14ac:dyDescent="0.2"/>
  <cols>
    <col min="1" max="1" width="1.42578125" style="283" customWidth="1"/>
    <col min="2" max="2" width="7.5703125" style="283" customWidth="1"/>
    <col min="3" max="4" width="7.7109375" style="283" customWidth="1"/>
    <col min="5" max="5" width="6.28515625" style="283" customWidth="1"/>
    <col min="6" max="7" width="7.7109375" style="283" customWidth="1"/>
    <col min="8" max="8" width="6.7109375" style="283" customWidth="1"/>
    <col min="9" max="9" width="5.5703125" style="283" customWidth="1"/>
    <col min="10" max="10" width="6.42578125" style="283" customWidth="1"/>
    <col min="11" max="11" width="6.7109375" style="283" customWidth="1"/>
    <col min="12" max="13" width="8.42578125" style="283" customWidth="1"/>
    <col min="14" max="14" width="7.140625" style="283" customWidth="1"/>
    <col min="15" max="15" width="6.85546875" style="283" customWidth="1"/>
    <col min="16" max="16384" width="9.140625" style="283"/>
  </cols>
  <sheetData>
    <row r="1" spans="2:15" ht="14.25" customHeight="1" x14ac:dyDescent="0.25">
      <c r="B1" s="515"/>
      <c r="C1" s="515"/>
      <c r="D1" s="22"/>
      <c r="E1" s="22"/>
      <c r="F1" s="22"/>
      <c r="G1" s="22"/>
      <c r="H1" s="22"/>
      <c r="I1" s="22"/>
      <c r="J1" s="22"/>
      <c r="K1" s="22"/>
      <c r="L1" s="22"/>
      <c r="M1" s="22"/>
      <c r="N1" s="15" t="s">
        <v>84</v>
      </c>
    </row>
    <row r="2" spans="2:15" ht="30" customHeight="1" x14ac:dyDescent="0.2">
      <c r="B2" s="513" t="s">
        <v>174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2:15" ht="15" customHeight="1" x14ac:dyDescent="0.2">
      <c r="B3" s="514" t="s">
        <v>66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2:15" ht="12.75" customHeight="1" x14ac:dyDescent="0.2">
      <c r="B4" s="524" t="s">
        <v>1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2:15" s="18" customFormat="1" ht="24.95" customHeight="1" x14ac:dyDescent="0.2">
      <c r="B5" s="28"/>
      <c r="C5" s="39" t="s">
        <v>37</v>
      </c>
      <c r="D5" s="40" t="s">
        <v>38</v>
      </c>
      <c r="E5" s="40" t="s">
        <v>33</v>
      </c>
      <c r="F5" s="40" t="s">
        <v>39</v>
      </c>
      <c r="G5" s="40" t="s">
        <v>40</v>
      </c>
      <c r="H5" s="40" t="s">
        <v>42</v>
      </c>
      <c r="I5" s="40" t="s">
        <v>35</v>
      </c>
      <c r="J5" s="449" t="s">
        <v>44</v>
      </c>
      <c r="K5" s="40" t="s">
        <v>28</v>
      </c>
      <c r="L5" s="40" t="s">
        <v>46</v>
      </c>
      <c r="M5" s="41" t="s">
        <v>47</v>
      </c>
      <c r="N5" s="41" t="s">
        <v>36</v>
      </c>
      <c r="O5" s="41" t="s">
        <v>106</v>
      </c>
    </row>
    <row r="6" spans="2:15" s="14" customFormat="1" ht="12.75" customHeight="1" x14ac:dyDescent="0.2">
      <c r="B6" s="63">
        <v>1981</v>
      </c>
      <c r="C6" s="139" t="s">
        <v>74</v>
      </c>
      <c r="D6" s="130" t="s">
        <v>74</v>
      </c>
      <c r="E6" s="130"/>
      <c r="F6" s="130" t="s">
        <v>74</v>
      </c>
      <c r="G6" s="302">
        <v>425</v>
      </c>
      <c r="H6" s="302">
        <v>122</v>
      </c>
      <c r="I6" s="303" t="s">
        <v>50</v>
      </c>
      <c r="J6" s="303" t="s">
        <v>50</v>
      </c>
      <c r="K6" s="303" t="s">
        <v>50</v>
      </c>
      <c r="L6" s="303"/>
      <c r="M6" s="357"/>
      <c r="N6" s="303" t="s">
        <v>50</v>
      </c>
      <c r="O6" s="237">
        <f>SUM(C6:M6)</f>
        <v>547</v>
      </c>
    </row>
    <row r="7" spans="2:15" s="14" customFormat="1" ht="12.75" customHeight="1" x14ac:dyDescent="0.2">
      <c r="B7" s="64">
        <v>1983</v>
      </c>
      <c r="C7" s="123" t="s">
        <v>74</v>
      </c>
      <c r="D7" s="124" t="s">
        <v>74</v>
      </c>
      <c r="E7" s="124"/>
      <c r="F7" s="124" t="s">
        <v>74</v>
      </c>
      <c r="G7" s="302">
        <v>425</v>
      </c>
      <c r="H7" s="302">
        <v>122</v>
      </c>
      <c r="I7" s="303" t="s">
        <v>50</v>
      </c>
      <c r="J7" s="303" t="s">
        <v>50</v>
      </c>
      <c r="K7" s="303" t="s">
        <v>50</v>
      </c>
      <c r="L7" s="303"/>
      <c r="M7" s="357"/>
      <c r="N7" s="303" t="s">
        <v>50</v>
      </c>
      <c r="O7" s="237">
        <f t="shared" ref="O7:O44" si="0">SUM(C7:M7)</f>
        <v>547</v>
      </c>
    </row>
    <row r="8" spans="2:15" s="14" customFormat="1" ht="15" customHeight="1" x14ac:dyDescent="0.2">
      <c r="B8" s="64">
        <v>1984</v>
      </c>
      <c r="C8" s="123" t="s">
        <v>74</v>
      </c>
      <c r="D8" s="124" t="s">
        <v>74</v>
      </c>
      <c r="E8" s="124"/>
      <c r="F8" s="124" t="s">
        <v>74</v>
      </c>
      <c r="G8" s="302">
        <v>425</v>
      </c>
      <c r="H8" s="302">
        <v>122</v>
      </c>
      <c r="I8" s="303" t="s">
        <v>50</v>
      </c>
      <c r="J8" s="303" t="s">
        <v>50</v>
      </c>
      <c r="K8" s="303" t="s">
        <v>50</v>
      </c>
      <c r="L8" s="303"/>
      <c r="M8" s="357"/>
      <c r="N8" s="303" t="s">
        <v>50</v>
      </c>
      <c r="O8" s="237">
        <f t="shared" si="0"/>
        <v>547</v>
      </c>
    </row>
    <row r="9" spans="2:15" s="18" customFormat="1" ht="12.75" customHeight="1" x14ac:dyDescent="0.2">
      <c r="B9" s="64">
        <v>1985</v>
      </c>
      <c r="C9" s="206" t="s">
        <v>74</v>
      </c>
      <c r="D9" s="290" t="s">
        <v>74</v>
      </c>
      <c r="E9" s="290" t="s">
        <v>50</v>
      </c>
      <c r="F9" s="290" t="s">
        <v>74</v>
      </c>
      <c r="G9" s="302">
        <v>425</v>
      </c>
      <c r="H9" s="302">
        <f>122+52</f>
        <v>174</v>
      </c>
      <c r="I9" s="303" t="s">
        <v>50</v>
      </c>
      <c r="J9" s="303" t="s">
        <v>50</v>
      </c>
      <c r="K9" s="303" t="s">
        <v>50</v>
      </c>
      <c r="L9" s="303"/>
      <c r="M9" s="357"/>
      <c r="N9" s="303" t="s">
        <v>50</v>
      </c>
      <c r="O9" s="237">
        <f t="shared" si="0"/>
        <v>599</v>
      </c>
    </row>
    <row r="10" spans="2:15" s="18" customFormat="1" ht="12.75" customHeight="1" x14ac:dyDescent="0.2">
      <c r="B10" s="64">
        <v>1986</v>
      </c>
      <c r="C10" s="206" t="s">
        <v>74</v>
      </c>
      <c r="D10" s="290" t="s">
        <v>74</v>
      </c>
      <c r="E10" s="290" t="s">
        <v>50</v>
      </c>
      <c r="F10" s="290" t="s">
        <v>74</v>
      </c>
      <c r="G10" s="302">
        <v>425</v>
      </c>
      <c r="H10" s="302">
        <f>122+52+20</f>
        <v>194</v>
      </c>
      <c r="I10" s="303" t="s">
        <v>50</v>
      </c>
      <c r="J10" s="303" t="s">
        <v>50</v>
      </c>
      <c r="K10" s="303" t="s">
        <v>50</v>
      </c>
      <c r="L10" s="303"/>
      <c r="M10" s="357"/>
      <c r="N10" s="303" t="s">
        <v>50</v>
      </c>
      <c r="O10" s="237">
        <f t="shared" si="0"/>
        <v>619</v>
      </c>
    </row>
    <row r="11" spans="2:15" s="18" customFormat="1" ht="12.75" customHeight="1" x14ac:dyDescent="0.2">
      <c r="B11" s="64">
        <v>1987</v>
      </c>
      <c r="C11" s="206" t="s">
        <v>74</v>
      </c>
      <c r="D11" s="290" t="s">
        <v>74</v>
      </c>
      <c r="E11" s="290" t="s">
        <v>50</v>
      </c>
      <c r="F11" s="290" t="s">
        <v>74</v>
      </c>
      <c r="G11" s="302">
        <v>425</v>
      </c>
      <c r="H11" s="302">
        <f t="shared" ref="H11:H15" si="1">122+52+20</f>
        <v>194</v>
      </c>
      <c r="I11" s="303" t="s">
        <v>50</v>
      </c>
      <c r="J11" s="303" t="s">
        <v>50</v>
      </c>
      <c r="K11" s="303" t="s">
        <v>50</v>
      </c>
      <c r="L11" s="303"/>
      <c r="M11" s="357"/>
      <c r="N11" s="303" t="s">
        <v>50</v>
      </c>
      <c r="O11" s="237">
        <f t="shared" si="0"/>
        <v>619</v>
      </c>
    </row>
    <row r="12" spans="2:15" s="18" customFormat="1" ht="12.75" customHeight="1" x14ac:dyDescent="0.2">
      <c r="B12" s="64">
        <v>1988</v>
      </c>
      <c r="C12" s="206" t="s">
        <v>74</v>
      </c>
      <c r="D12" s="290">
        <v>90</v>
      </c>
      <c r="E12" s="290" t="s">
        <v>50</v>
      </c>
      <c r="F12" s="290" t="s">
        <v>74</v>
      </c>
      <c r="G12" s="302">
        <v>425</v>
      </c>
      <c r="H12" s="302">
        <f t="shared" si="1"/>
        <v>194</v>
      </c>
      <c r="I12" s="303" t="s">
        <v>50</v>
      </c>
      <c r="J12" s="303" t="s">
        <v>50</v>
      </c>
      <c r="K12" s="303" t="s">
        <v>50</v>
      </c>
      <c r="L12" s="303"/>
      <c r="M12" s="357"/>
      <c r="N12" s="303" t="s">
        <v>50</v>
      </c>
      <c r="O12" s="237">
        <f t="shared" si="0"/>
        <v>709</v>
      </c>
    </row>
    <row r="13" spans="2:15" s="18" customFormat="1" ht="12.75" customHeight="1" x14ac:dyDescent="0.2">
      <c r="B13" s="64">
        <v>1989</v>
      </c>
      <c r="C13" s="206" t="s">
        <v>74</v>
      </c>
      <c r="D13" s="290">
        <v>90</v>
      </c>
      <c r="E13" s="290" t="s">
        <v>50</v>
      </c>
      <c r="F13" s="290" t="s">
        <v>74</v>
      </c>
      <c r="G13" s="302">
        <f t="shared" ref="G13" si="2">425+292</f>
        <v>717</v>
      </c>
      <c r="H13" s="302">
        <f t="shared" si="1"/>
        <v>194</v>
      </c>
      <c r="I13" s="303" t="s">
        <v>50</v>
      </c>
      <c r="J13" s="303" t="s">
        <v>50</v>
      </c>
      <c r="K13" s="303" t="s">
        <v>50</v>
      </c>
      <c r="L13" s="303"/>
      <c r="M13" s="357"/>
      <c r="N13" s="303" t="s">
        <v>50</v>
      </c>
      <c r="O13" s="237">
        <f t="shared" si="0"/>
        <v>1001</v>
      </c>
    </row>
    <row r="14" spans="2:15" s="18" customFormat="1" ht="12.75" customHeight="1" x14ac:dyDescent="0.2">
      <c r="B14" s="64">
        <v>1990</v>
      </c>
      <c r="C14" s="206" t="s">
        <v>74</v>
      </c>
      <c r="D14" s="290">
        <v>90</v>
      </c>
      <c r="E14" s="290" t="s">
        <v>50</v>
      </c>
      <c r="F14" s="290" t="s">
        <v>74</v>
      </c>
      <c r="G14" s="302">
        <f>425+292</f>
        <v>717</v>
      </c>
      <c r="H14" s="302">
        <f t="shared" si="1"/>
        <v>194</v>
      </c>
      <c r="I14" s="303" t="s">
        <v>50</v>
      </c>
      <c r="J14" s="303">
        <v>24</v>
      </c>
      <c r="K14" s="303" t="s">
        <v>50</v>
      </c>
      <c r="L14" s="303"/>
      <c r="M14" s="357"/>
      <c r="N14" s="303" t="s">
        <v>50</v>
      </c>
      <c r="O14" s="237">
        <f t="shared" si="0"/>
        <v>1025</v>
      </c>
    </row>
    <row r="15" spans="2:15" s="18" customFormat="1" ht="12.75" customHeight="1" x14ac:dyDescent="0.2">
      <c r="B15" s="64">
        <v>1991</v>
      </c>
      <c r="C15" s="206" t="s">
        <v>74</v>
      </c>
      <c r="D15" s="290">
        <v>447</v>
      </c>
      <c r="E15" s="290" t="s">
        <v>50</v>
      </c>
      <c r="F15" s="290" t="s">
        <v>74</v>
      </c>
      <c r="G15" s="302">
        <f t="shared" ref="G15" si="3">425+292</f>
        <v>717</v>
      </c>
      <c r="H15" s="302">
        <f t="shared" si="1"/>
        <v>194</v>
      </c>
      <c r="I15" s="303" t="s">
        <v>50</v>
      </c>
      <c r="J15" s="303">
        <v>24</v>
      </c>
      <c r="K15" s="303" t="s">
        <v>50</v>
      </c>
      <c r="L15" s="303"/>
      <c r="M15" s="357"/>
      <c r="N15" s="303" t="s">
        <v>50</v>
      </c>
      <c r="O15" s="237">
        <f t="shared" si="0"/>
        <v>1382</v>
      </c>
    </row>
    <row r="16" spans="2:15" s="18" customFormat="1" ht="12.75" customHeight="1" x14ac:dyDescent="0.2">
      <c r="B16" s="64">
        <v>1992</v>
      </c>
      <c r="C16" s="206" t="s">
        <v>74</v>
      </c>
      <c r="D16" s="290">
        <v>447</v>
      </c>
      <c r="E16" s="290" t="s">
        <v>50</v>
      </c>
      <c r="F16" s="290">
        <v>471</v>
      </c>
      <c r="G16" s="302">
        <f>425+292+122</f>
        <v>839</v>
      </c>
      <c r="H16" s="302">
        <f>122+52+20+44</f>
        <v>238</v>
      </c>
      <c r="I16" s="303" t="s">
        <v>50</v>
      </c>
      <c r="J16" s="303">
        <v>24</v>
      </c>
      <c r="K16" s="303" t="s">
        <v>50</v>
      </c>
      <c r="L16" s="303"/>
      <c r="M16" s="357"/>
      <c r="N16" s="303" t="s">
        <v>50</v>
      </c>
      <c r="O16" s="237">
        <f t="shared" si="0"/>
        <v>2019</v>
      </c>
    </row>
    <row r="17" spans="2:15" s="18" customFormat="1" ht="12.75" customHeight="1" x14ac:dyDescent="0.2">
      <c r="B17" s="64">
        <v>1993</v>
      </c>
      <c r="C17" s="206" t="s">
        <v>74</v>
      </c>
      <c r="D17" s="290">
        <v>447</v>
      </c>
      <c r="E17" s="290" t="s">
        <v>50</v>
      </c>
      <c r="F17" s="290">
        <v>471</v>
      </c>
      <c r="G17" s="302">
        <f t="shared" ref="G17" si="4">425+292+122</f>
        <v>839</v>
      </c>
      <c r="H17" s="302">
        <f t="shared" ref="H17:H29" si="5">122+52+20+44</f>
        <v>238</v>
      </c>
      <c r="I17" s="303" t="s">
        <v>50</v>
      </c>
      <c r="J17" s="303">
        <v>24</v>
      </c>
      <c r="K17" s="303" t="s">
        <v>50</v>
      </c>
      <c r="L17" s="303"/>
      <c r="M17" s="357"/>
      <c r="N17" s="303" t="s">
        <v>50</v>
      </c>
      <c r="O17" s="237">
        <f t="shared" si="0"/>
        <v>2019</v>
      </c>
    </row>
    <row r="18" spans="2:15" s="18" customFormat="1" ht="12.75" customHeight="1" x14ac:dyDescent="0.2">
      <c r="B18" s="64">
        <v>1994</v>
      </c>
      <c r="C18" s="206" t="s">
        <v>74</v>
      </c>
      <c r="D18" s="290">
        <v>447</v>
      </c>
      <c r="E18" s="290" t="s">
        <v>50</v>
      </c>
      <c r="F18" s="290">
        <v>471</v>
      </c>
      <c r="G18" s="302">
        <f>425+292+122+346+105</f>
        <v>1290</v>
      </c>
      <c r="H18" s="302">
        <f t="shared" si="5"/>
        <v>238</v>
      </c>
      <c r="I18" s="303" t="s">
        <v>50</v>
      </c>
      <c r="J18" s="303">
        <v>24</v>
      </c>
      <c r="K18" s="303" t="s">
        <v>50</v>
      </c>
      <c r="L18" s="303"/>
      <c r="M18" s="357"/>
      <c r="N18" s="303" t="s">
        <v>50</v>
      </c>
      <c r="O18" s="237">
        <f t="shared" si="0"/>
        <v>2470</v>
      </c>
    </row>
    <row r="19" spans="2:15" s="18" customFormat="1" ht="11.25" x14ac:dyDescent="0.2">
      <c r="B19" s="64">
        <v>1995</v>
      </c>
      <c r="C19" s="206" t="s">
        <v>74</v>
      </c>
      <c r="D19" s="290">
        <v>426</v>
      </c>
      <c r="E19" s="290" t="s">
        <v>50</v>
      </c>
      <c r="F19" s="290">
        <v>471</v>
      </c>
      <c r="G19" s="302">
        <f t="shared" ref="G19:G24" si="6">425+292+122+346+105</f>
        <v>1290</v>
      </c>
      <c r="H19" s="302">
        <f t="shared" si="5"/>
        <v>238</v>
      </c>
      <c r="I19" s="303" t="s">
        <v>50</v>
      </c>
      <c r="J19" s="303">
        <v>24</v>
      </c>
      <c r="K19" s="303" t="s">
        <v>50</v>
      </c>
      <c r="L19" s="303">
        <v>156</v>
      </c>
      <c r="M19" s="357"/>
      <c r="N19" s="303" t="s">
        <v>50</v>
      </c>
      <c r="O19" s="237">
        <f t="shared" si="0"/>
        <v>2605</v>
      </c>
    </row>
    <row r="20" spans="2:15" s="18" customFormat="1" ht="12.75" customHeight="1" x14ac:dyDescent="0.2">
      <c r="B20" s="64">
        <v>1996</v>
      </c>
      <c r="C20" s="206" t="s">
        <v>74</v>
      </c>
      <c r="D20" s="290">
        <v>447</v>
      </c>
      <c r="E20" s="290" t="s">
        <v>50</v>
      </c>
      <c r="F20" s="290">
        <v>471</v>
      </c>
      <c r="G20" s="302">
        <f t="shared" si="6"/>
        <v>1290</v>
      </c>
      <c r="H20" s="302">
        <f t="shared" si="5"/>
        <v>238</v>
      </c>
      <c r="I20" s="303" t="s">
        <v>50</v>
      </c>
      <c r="J20" s="303">
        <v>24</v>
      </c>
      <c r="K20" s="303" t="s">
        <v>50</v>
      </c>
      <c r="L20" s="303">
        <v>156</v>
      </c>
      <c r="M20" s="357"/>
      <c r="N20" s="303" t="s">
        <v>50</v>
      </c>
      <c r="O20" s="237">
        <f t="shared" si="0"/>
        <v>2626</v>
      </c>
    </row>
    <row r="21" spans="2:15" s="18" customFormat="1" ht="12.75" customHeight="1" x14ac:dyDescent="0.2">
      <c r="B21" s="64">
        <v>1997</v>
      </c>
      <c r="C21" s="206">
        <v>72</v>
      </c>
      <c r="D21" s="290">
        <v>447</v>
      </c>
      <c r="E21" s="290" t="s">
        <v>50</v>
      </c>
      <c r="F21" s="290">
        <v>471</v>
      </c>
      <c r="G21" s="302">
        <f t="shared" si="6"/>
        <v>1290</v>
      </c>
      <c r="H21" s="302">
        <f t="shared" si="5"/>
        <v>238</v>
      </c>
      <c r="I21" s="303" t="s">
        <v>50</v>
      </c>
      <c r="J21" s="303">
        <v>24</v>
      </c>
      <c r="K21" s="303" t="s">
        <v>50</v>
      </c>
      <c r="L21" s="303">
        <v>156</v>
      </c>
      <c r="M21" s="357"/>
      <c r="N21" s="303" t="s">
        <v>50</v>
      </c>
      <c r="O21" s="237">
        <f t="shared" si="0"/>
        <v>2698</v>
      </c>
    </row>
    <row r="22" spans="2:15" s="18" customFormat="1" ht="12.75" customHeight="1" x14ac:dyDescent="0.2">
      <c r="B22" s="64">
        <v>1998</v>
      </c>
      <c r="C22" s="206">
        <v>72</v>
      </c>
      <c r="D22" s="290">
        <f>447+189</f>
        <v>636</v>
      </c>
      <c r="E22" s="290" t="s">
        <v>50</v>
      </c>
      <c r="F22" s="290">
        <v>471</v>
      </c>
      <c r="G22" s="302">
        <f t="shared" si="6"/>
        <v>1290</v>
      </c>
      <c r="H22" s="302">
        <f t="shared" si="5"/>
        <v>238</v>
      </c>
      <c r="I22" s="303" t="s">
        <v>50</v>
      </c>
      <c r="J22" s="303">
        <v>24</v>
      </c>
      <c r="K22" s="303" t="s">
        <v>50</v>
      </c>
      <c r="L22" s="303">
        <v>156</v>
      </c>
      <c r="M22" s="357"/>
      <c r="N22" s="303" t="s">
        <v>50</v>
      </c>
      <c r="O22" s="237">
        <f t="shared" si="0"/>
        <v>2887</v>
      </c>
    </row>
    <row r="23" spans="2:15" s="18" customFormat="1" ht="12.75" customHeight="1" x14ac:dyDescent="0.2">
      <c r="B23" s="64">
        <v>1999</v>
      </c>
      <c r="C23" s="206">
        <v>72</v>
      </c>
      <c r="D23" s="290">
        <v>636</v>
      </c>
      <c r="E23" s="290" t="s">
        <v>50</v>
      </c>
      <c r="F23" s="290">
        <v>471</v>
      </c>
      <c r="G23" s="302">
        <f t="shared" si="6"/>
        <v>1290</v>
      </c>
      <c r="H23" s="302">
        <f t="shared" si="5"/>
        <v>238</v>
      </c>
      <c r="I23" s="303" t="s">
        <v>50</v>
      </c>
      <c r="J23" s="303">
        <v>24</v>
      </c>
      <c r="K23" s="303" t="s">
        <v>50</v>
      </c>
      <c r="L23" s="303">
        <v>156</v>
      </c>
      <c r="M23" s="357">
        <v>187</v>
      </c>
      <c r="N23" s="303" t="s">
        <v>50</v>
      </c>
      <c r="O23" s="237">
        <f t="shared" si="0"/>
        <v>3074</v>
      </c>
    </row>
    <row r="24" spans="2:15" s="18" customFormat="1" ht="12" customHeight="1" x14ac:dyDescent="0.2">
      <c r="B24" s="64">
        <v>2000</v>
      </c>
      <c r="C24" s="206">
        <v>72</v>
      </c>
      <c r="D24" s="354">
        <v>576</v>
      </c>
      <c r="E24" s="290" t="s">
        <v>50</v>
      </c>
      <c r="F24" s="354">
        <v>471</v>
      </c>
      <c r="G24" s="302">
        <f t="shared" si="6"/>
        <v>1290</v>
      </c>
      <c r="H24" s="302">
        <f t="shared" si="5"/>
        <v>238</v>
      </c>
      <c r="I24" s="303" t="s">
        <v>50</v>
      </c>
      <c r="J24" s="303">
        <v>24</v>
      </c>
      <c r="K24" s="303" t="s">
        <v>50</v>
      </c>
      <c r="L24" s="303">
        <v>156</v>
      </c>
      <c r="M24" s="357">
        <v>187</v>
      </c>
      <c r="N24" s="303" t="s">
        <v>50</v>
      </c>
      <c r="O24" s="237">
        <f t="shared" si="0"/>
        <v>3014</v>
      </c>
    </row>
    <row r="25" spans="2:15" s="18" customFormat="1" ht="12.75" customHeight="1" x14ac:dyDescent="0.2">
      <c r="B25" s="64">
        <v>2001</v>
      </c>
      <c r="C25" s="206">
        <v>72</v>
      </c>
      <c r="D25" s="354">
        <v>576</v>
      </c>
      <c r="E25" s="290" t="s">
        <v>50</v>
      </c>
      <c r="F25" s="354">
        <v>471</v>
      </c>
      <c r="G25" s="302">
        <f>425+292+122+346+105+259</f>
        <v>1549</v>
      </c>
      <c r="H25" s="302">
        <f t="shared" si="5"/>
        <v>238</v>
      </c>
      <c r="I25" s="303" t="s">
        <v>50</v>
      </c>
      <c r="J25" s="303">
        <f>24+44</f>
        <v>68</v>
      </c>
      <c r="K25" s="303" t="s">
        <v>50</v>
      </c>
      <c r="L25" s="303">
        <f>L24+673+53</f>
        <v>882</v>
      </c>
      <c r="M25" s="357">
        <v>187</v>
      </c>
      <c r="N25" s="303" t="s">
        <v>50</v>
      </c>
      <c r="O25" s="237">
        <f t="shared" si="0"/>
        <v>4043</v>
      </c>
    </row>
    <row r="26" spans="2:15" s="18" customFormat="1" ht="12.75" customHeight="1" x14ac:dyDescent="0.2">
      <c r="B26" s="64">
        <v>2002</v>
      </c>
      <c r="C26" s="206">
        <f t="shared" ref="C26:C32" si="7">72+65</f>
        <v>137</v>
      </c>
      <c r="D26" s="354">
        <v>720</v>
      </c>
      <c r="E26" s="290" t="s">
        <v>50</v>
      </c>
      <c r="F26" s="354">
        <v>471</v>
      </c>
      <c r="G26" s="302">
        <f t="shared" ref="G26:G30" si="8">425+292+122+346+105+259</f>
        <v>1549</v>
      </c>
      <c r="H26" s="302">
        <f t="shared" si="5"/>
        <v>238</v>
      </c>
      <c r="I26" s="303" t="s">
        <v>50</v>
      </c>
      <c r="J26" s="303">
        <f>24+44</f>
        <v>68</v>
      </c>
      <c r="K26" s="303" t="s">
        <v>50</v>
      </c>
      <c r="L26" s="303">
        <v>882</v>
      </c>
      <c r="M26" s="357">
        <v>187</v>
      </c>
      <c r="N26" s="303" t="s">
        <v>50</v>
      </c>
      <c r="O26" s="237">
        <f t="shared" si="0"/>
        <v>4252</v>
      </c>
    </row>
    <row r="27" spans="2:15" s="18" customFormat="1" ht="12.75" customHeight="1" x14ac:dyDescent="0.2">
      <c r="B27" s="64">
        <v>2003</v>
      </c>
      <c r="C27" s="206">
        <f t="shared" si="7"/>
        <v>137</v>
      </c>
      <c r="D27" s="354">
        <v>759</v>
      </c>
      <c r="E27" s="290" t="s">
        <v>50</v>
      </c>
      <c r="F27" s="354">
        <v>1017</v>
      </c>
      <c r="G27" s="302">
        <f t="shared" si="8"/>
        <v>1549</v>
      </c>
      <c r="H27" s="302">
        <f t="shared" si="5"/>
        <v>238</v>
      </c>
      <c r="I27" s="303" t="s">
        <v>50</v>
      </c>
      <c r="J27" s="303">
        <f>68+37</f>
        <v>105</v>
      </c>
      <c r="K27" s="303" t="s">
        <v>50</v>
      </c>
      <c r="L27" s="303">
        <v>882</v>
      </c>
      <c r="M27" s="357">
        <v>187</v>
      </c>
      <c r="N27" s="303" t="s">
        <v>50</v>
      </c>
      <c r="O27" s="237">
        <f t="shared" si="0"/>
        <v>4874</v>
      </c>
    </row>
    <row r="28" spans="2:15" s="18" customFormat="1" ht="12.75" customHeight="1" x14ac:dyDescent="0.2">
      <c r="B28" s="64">
        <v>2004</v>
      </c>
      <c r="C28" s="206">
        <f t="shared" si="7"/>
        <v>137</v>
      </c>
      <c r="D28" s="354">
        <v>1089</v>
      </c>
      <c r="E28" s="290" t="s">
        <v>50</v>
      </c>
      <c r="F28" s="354">
        <v>1017</v>
      </c>
      <c r="G28" s="302">
        <f t="shared" si="8"/>
        <v>1549</v>
      </c>
      <c r="H28" s="302">
        <f t="shared" si="5"/>
        <v>238</v>
      </c>
      <c r="I28" s="303" t="s">
        <v>50</v>
      </c>
      <c r="J28" s="303">
        <f>24+44+37</f>
        <v>105</v>
      </c>
      <c r="K28" s="303" t="s">
        <v>50</v>
      </c>
      <c r="L28" s="303">
        <v>882</v>
      </c>
      <c r="M28" s="357">
        <v>187</v>
      </c>
      <c r="N28" s="303" t="s">
        <v>50</v>
      </c>
      <c r="O28" s="237">
        <f t="shared" si="0"/>
        <v>5204</v>
      </c>
    </row>
    <row r="29" spans="2:15" s="18" customFormat="1" ht="12.75" customHeight="1" x14ac:dyDescent="0.2">
      <c r="B29" s="64">
        <v>2005</v>
      </c>
      <c r="C29" s="206">
        <f t="shared" si="7"/>
        <v>137</v>
      </c>
      <c r="D29" s="354">
        <v>1089</v>
      </c>
      <c r="E29" s="290" t="s">
        <v>50</v>
      </c>
      <c r="F29" s="354">
        <v>1038</v>
      </c>
      <c r="G29" s="302">
        <f t="shared" si="8"/>
        <v>1549</v>
      </c>
      <c r="H29" s="302">
        <f t="shared" si="5"/>
        <v>238</v>
      </c>
      <c r="I29" s="303" t="s">
        <v>50</v>
      </c>
      <c r="J29" s="303">
        <f>24+44+37</f>
        <v>105</v>
      </c>
      <c r="K29" s="303" t="s">
        <v>50</v>
      </c>
      <c r="L29" s="303">
        <v>882</v>
      </c>
      <c r="M29" s="357">
        <v>187</v>
      </c>
      <c r="N29" s="354">
        <v>74</v>
      </c>
      <c r="O29" s="237">
        <f t="shared" si="0"/>
        <v>5225</v>
      </c>
    </row>
    <row r="30" spans="2:15" s="18" customFormat="1" ht="12.75" customHeight="1" x14ac:dyDescent="0.2">
      <c r="B30" s="64">
        <v>2006</v>
      </c>
      <c r="C30" s="206">
        <f t="shared" si="7"/>
        <v>137</v>
      </c>
      <c r="D30" s="354">
        <v>1178</v>
      </c>
      <c r="E30" s="290" t="s">
        <v>50</v>
      </c>
      <c r="F30" s="354">
        <v>1245</v>
      </c>
      <c r="G30" s="302">
        <f t="shared" si="8"/>
        <v>1549</v>
      </c>
      <c r="H30" s="302">
        <f>122+52+20+44+86</f>
        <v>324</v>
      </c>
      <c r="I30" s="303">
        <v>90</v>
      </c>
      <c r="J30" s="303">
        <f>24+44+37</f>
        <v>105</v>
      </c>
      <c r="K30" s="303" t="s">
        <v>50</v>
      </c>
      <c r="L30" s="303">
        <f>L29+44+63</f>
        <v>989</v>
      </c>
      <c r="M30" s="357">
        <v>187</v>
      </c>
      <c r="N30" s="354">
        <v>74</v>
      </c>
      <c r="O30" s="237">
        <f t="shared" si="0"/>
        <v>5804</v>
      </c>
    </row>
    <row r="31" spans="2:15" s="18" customFormat="1" ht="12.75" customHeight="1" x14ac:dyDescent="0.2">
      <c r="B31" s="64">
        <v>2007</v>
      </c>
      <c r="C31" s="206">
        <f t="shared" si="7"/>
        <v>137</v>
      </c>
      <c r="D31" s="354">
        <v>1178</v>
      </c>
      <c r="E31" s="290" t="s">
        <v>50</v>
      </c>
      <c r="F31" s="354">
        <v>1481</v>
      </c>
      <c r="G31" s="302">
        <f>425+292+122+346+105+259+335</f>
        <v>1884</v>
      </c>
      <c r="H31" s="302">
        <f t="shared" ref="H31" si="9">122+52+20+44+86</f>
        <v>324</v>
      </c>
      <c r="I31" s="303">
        <v>90</v>
      </c>
      <c r="J31" s="303">
        <f>105+16</f>
        <v>121</v>
      </c>
      <c r="K31" s="303" t="s">
        <v>50</v>
      </c>
      <c r="L31" s="303">
        <v>989</v>
      </c>
      <c r="M31" s="357">
        <v>187</v>
      </c>
      <c r="N31" s="354">
        <v>74</v>
      </c>
      <c r="O31" s="237">
        <f t="shared" si="0"/>
        <v>6391</v>
      </c>
    </row>
    <row r="32" spans="2:15" s="18" customFormat="1" ht="12.75" customHeight="1" x14ac:dyDescent="0.2">
      <c r="B32" s="64">
        <v>2008</v>
      </c>
      <c r="C32" s="206">
        <f t="shared" si="7"/>
        <v>137</v>
      </c>
      <c r="D32" s="354">
        <v>1178</v>
      </c>
      <c r="E32" s="290" t="s">
        <v>50</v>
      </c>
      <c r="F32" s="354">
        <v>1581</v>
      </c>
      <c r="G32" s="302">
        <f t="shared" ref="G32:G33" si="10">425+292+122+346+105+259+335</f>
        <v>1884</v>
      </c>
      <c r="H32" s="302">
        <f>122+52+20+44+86+182+29</f>
        <v>535</v>
      </c>
      <c r="I32" s="303">
        <v>90</v>
      </c>
      <c r="J32" s="303">
        <f>105+16</f>
        <v>121</v>
      </c>
      <c r="K32" s="303" t="s">
        <v>50</v>
      </c>
      <c r="L32" s="303">
        <v>989</v>
      </c>
      <c r="M32" s="357">
        <f>187+283</f>
        <v>470</v>
      </c>
      <c r="N32" s="451">
        <v>113.4</v>
      </c>
      <c r="O32" s="237">
        <f t="shared" si="0"/>
        <v>6985</v>
      </c>
    </row>
    <row r="33" spans="1:15" s="18" customFormat="1" ht="12.75" customHeight="1" x14ac:dyDescent="0.2">
      <c r="B33" s="64">
        <v>2009</v>
      </c>
      <c r="C33" s="206">
        <f>137+72</f>
        <v>209</v>
      </c>
      <c r="D33" s="354">
        <v>1178</v>
      </c>
      <c r="E33" s="290" t="s">
        <v>50</v>
      </c>
      <c r="F33" s="354">
        <v>1647</v>
      </c>
      <c r="G33" s="302">
        <f t="shared" si="10"/>
        <v>1884</v>
      </c>
      <c r="H33" s="302">
        <f>122+52+20+44+86+182+29+205+38+78</f>
        <v>856</v>
      </c>
      <c r="I33" s="303">
        <v>90</v>
      </c>
      <c r="J33" s="303">
        <f>105+16</f>
        <v>121</v>
      </c>
      <c r="K33" s="303" t="s">
        <v>50</v>
      </c>
      <c r="L33" s="303">
        <f>L32+131</f>
        <v>1120</v>
      </c>
      <c r="M33" s="357">
        <f>470+180</f>
        <v>650</v>
      </c>
      <c r="N33" s="451">
        <v>113.4</v>
      </c>
      <c r="O33" s="237">
        <f t="shared" si="0"/>
        <v>7755</v>
      </c>
    </row>
    <row r="34" spans="1:15" s="18" customFormat="1" ht="12.75" customHeight="1" x14ac:dyDescent="0.2">
      <c r="B34" s="64">
        <v>2010</v>
      </c>
      <c r="C34" s="206">
        <f>137+72</f>
        <v>209</v>
      </c>
      <c r="D34" s="354">
        <v>1178</v>
      </c>
      <c r="E34" s="290" t="s">
        <v>50</v>
      </c>
      <c r="F34" s="354">
        <v>2102</v>
      </c>
      <c r="G34" s="302">
        <f>425+292+122+346+105+259+335+28</f>
        <v>1912</v>
      </c>
      <c r="H34" s="302">
        <f t="shared" ref="H34:H39" si="11">122+52+20+44+86+182+29+205+38+78</f>
        <v>856</v>
      </c>
      <c r="I34" s="303">
        <v>90</v>
      </c>
      <c r="J34" s="303">
        <f>105+16</f>
        <v>121</v>
      </c>
      <c r="K34" s="303" t="s">
        <v>50</v>
      </c>
      <c r="L34" s="303">
        <v>1120</v>
      </c>
      <c r="M34" s="357">
        <f>650+30</f>
        <v>680</v>
      </c>
      <c r="N34" s="451">
        <v>113.4</v>
      </c>
      <c r="O34" s="237">
        <f t="shared" si="0"/>
        <v>8268</v>
      </c>
    </row>
    <row r="35" spans="1:15" s="18" customFormat="1" ht="12.75" customHeight="1" x14ac:dyDescent="0.2">
      <c r="B35" s="64">
        <v>2011</v>
      </c>
      <c r="C35" s="206">
        <v>209</v>
      </c>
      <c r="D35" s="354">
        <v>1240</v>
      </c>
      <c r="E35" s="290" t="s">
        <v>50</v>
      </c>
      <c r="F35" s="354">
        <v>2187</v>
      </c>
      <c r="G35" s="302">
        <f>425+292+122+346+105+259+335+28+146</f>
        <v>2058</v>
      </c>
      <c r="H35" s="302">
        <f t="shared" si="11"/>
        <v>856</v>
      </c>
      <c r="I35" s="303">
        <v>90</v>
      </c>
      <c r="J35" s="303">
        <f>121+50+36+30</f>
        <v>237</v>
      </c>
      <c r="K35" s="303" t="s">
        <v>50</v>
      </c>
      <c r="L35" s="303">
        <v>1120</v>
      </c>
      <c r="M35" s="357">
        <f>680</f>
        <v>680</v>
      </c>
      <c r="N35" s="451">
        <v>113.4</v>
      </c>
      <c r="O35" s="237">
        <f t="shared" si="0"/>
        <v>8677</v>
      </c>
    </row>
    <row r="36" spans="1:15" s="18" customFormat="1" ht="12.75" customHeight="1" x14ac:dyDescent="0.2">
      <c r="B36" s="64">
        <v>2012</v>
      </c>
      <c r="C36" s="206">
        <v>209</v>
      </c>
      <c r="D36" s="354">
        <v>1258</v>
      </c>
      <c r="E36" s="290" t="s">
        <v>50</v>
      </c>
      <c r="F36" s="354">
        <v>2193</v>
      </c>
      <c r="G36" s="302">
        <f t="shared" ref="G36:G39" si="12">425+292+122+346+105+259+335+28+146</f>
        <v>2058</v>
      </c>
      <c r="H36" s="302">
        <f t="shared" si="11"/>
        <v>856</v>
      </c>
      <c r="I36" s="303">
        <v>90</v>
      </c>
      <c r="J36" s="303">
        <f>121+50+36+30</f>
        <v>237</v>
      </c>
      <c r="K36" s="303" t="s">
        <v>50</v>
      </c>
      <c r="L36" s="303">
        <v>1120</v>
      </c>
      <c r="M36" s="357">
        <f>680+180</f>
        <v>860</v>
      </c>
      <c r="N36" s="451">
        <v>113.4</v>
      </c>
      <c r="O36" s="237">
        <f t="shared" si="0"/>
        <v>8881</v>
      </c>
    </row>
    <row r="37" spans="1:15" s="284" customFormat="1" ht="15" customHeight="1" x14ac:dyDescent="0.2">
      <c r="B37" s="64">
        <v>2013</v>
      </c>
      <c r="C37" s="206">
        <v>209</v>
      </c>
      <c r="D37" s="354">
        <v>1258</v>
      </c>
      <c r="E37" s="290" t="s">
        <v>50</v>
      </c>
      <c r="F37" s="354">
        <v>2489</v>
      </c>
      <c r="G37" s="302">
        <f t="shared" si="12"/>
        <v>2058</v>
      </c>
      <c r="H37" s="302">
        <f t="shared" si="11"/>
        <v>856</v>
      </c>
      <c r="I37" s="303">
        <v>90</v>
      </c>
      <c r="J37" s="303">
        <f>121+50+36+30</f>
        <v>237</v>
      </c>
      <c r="K37" s="303" t="s">
        <v>50</v>
      </c>
      <c r="L37" s="303">
        <v>1120</v>
      </c>
      <c r="M37" s="357">
        <f t="shared" ref="M37:M43" si="13">680+180</f>
        <v>860</v>
      </c>
      <c r="N37" s="451">
        <v>113.4</v>
      </c>
      <c r="O37" s="237">
        <f t="shared" si="0"/>
        <v>9177</v>
      </c>
    </row>
    <row r="38" spans="1:15" s="284" customFormat="1" ht="15" customHeight="1" x14ac:dyDescent="0.2">
      <c r="B38" s="64">
        <v>2014</v>
      </c>
      <c r="C38" s="290">
        <v>209</v>
      </c>
      <c r="D38" s="354">
        <v>1258</v>
      </c>
      <c r="E38" s="290" t="s">
        <v>50</v>
      </c>
      <c r="F38" s="354">
        <v>2489</v>
      </c>
      <c r="G38" s="302">
        <f t="shared" si="12"/>
        <v>2058</v>
      </c>
      <c r="H38" s="302">
        <f t="shared" si="11"/>
        <v>856</v>
      </c>
      <c r="I38" s="303">
        <v>90</v>
      </c>
      <c r="J38" s="303">
        <f>121+50+36+30</f>
        <v>237</v>
      </c>
      <c r="K38" s="303" t="s">
        <v>50</v>
      </c>
      <c r="L38" s="303">
        <v>1120</v>
      </c>
      <c r="M38" s="357">
        <f t="shared" si="13"/>
        <v>860</v>
      </c>
      <c r="N38" s="451">
        <v>113.4</v>
      </c>
      <c r="O38" s="237">
        <f t="shared" si="0"/>
        <v>9177</v>
      </c>
    </row>
    <row r="39" spans="1:15" s="284" customFormat="1" ht="15" customHeight="1" x14ac:dyDescent="0.2">
      <c r="B39" s="268">
        <v>2015</v>
      </c>
      <c r="C39" s="206">
        <v>209</v>
      </c>
      <c r="D39" s="354">
        <v>1381</v>
      </c>
      <c r="E39" s="290" t="s">
        <v>50</v>
      </c>
      <c r="F39" s="354">
        <v>3002</v>
      </c>
      <c r="G39" s="302">
        <f t="shared" si="12"/>
        <v>2058</v>
      </c>
      <c r="H39" s="302">
        <f t="shared" si="11"/>
        <v>856</v>
      </c>
      <c r="I39" s="303">
        <v>90</v>
      </c>
      <c r="J39" s="303">
        <f>121+50+36+30</f>
        <v>237</v>
      </c>
      <c r="K39" s="303">
        <v>224</v>
      </c>
      <c r="L39" s="303">
        <v>1120</v>
      </c>
      <c r="M39" s="357">
        <f t="shared" si="13"/>
        <v>860</v>
      </c>
      <c r="N39" s="451">
        <v>113.4</v>
      </c>
      <c r="O39" s="237">
        <f t="shared" si="0"/>
        <v>10037</v>
      </c>
    </row>
    <row r="40" spans="1:15" s="284" customFormat="1" ht="15" customHeight="1" x14ac:dyDescent="0.2">
      <c r="B40" s="64">
        <v>2016</v>
      </c>
      <c r="C40" s="206">
        <v>209</v>
      </c>
      <c r="D40" s="354">
        <v>1381</v>
      </c>
      <c r="E40" s="290" t="s">
        <v>50</v>
      </c>
      <c r="F40" s="354">
        <v>3002</v>
      </c>
      <c r="G40" s="302">
        <f>425+292+122+346+105+259+335+28+146+122</f>
        <v>2180</v>
      </c>
      <c r="H40" s="302">
        <f>122+52+20+44+86+182+29+205+38+78+40</f>
        <v>896</v>
      </c>
      <c r="I40" s="303">
        <v>90</v>
      </c>
      <c r="J40" s="354">
        <f>237+17</f>
        <v>254</v>
      </c>
      <c r="K40" s="303">
        <v>224</v>
      </c>
      <c r="L40" s="303">
        <v>1120</v>
      </c>
      <c r="M40" s="357">
        <f t="shared" si="13"/>
        <v>860</v>
      </c>
      <c r="N40" s="451">
        <v>113.4</v>
      </c>
      <c r="O40" s="237">
        <f t="shared" si="0"/>
        <v>10216</v>
      </c>
    </row>
    <row r="41" spans="1:15" s="284" customFormat="1" ht="15" customHeight="1" x14ac:dyDescent="0.2">
      <c r="B41" s="268">
        <v>2017</v>
      </c>
      <c r="C41" s="206">
        <v>209</v>
      </c>
      <c r="D41" s="354">
        <v>1571</v>
      </c>
      <c r="E41" s="290" t="s">
        <v>50</v>
      </c>
      <c r="F41" s="354">
        <v>3002</v>
      </c>
      <c r="G41" s="302">
        <v>2814</v>
      </c>
      <c r="H41" s="302">
        <f>122+52+20+44+86+182+29+205+38+78+40</f>
        <v>896</v>
      </c>
      <c r="I41" s="303">
        <v>90</v>
      </c>
      <c r="J41" s="354">
        <f t="shared" ref="J41:J44" si="14">237+17</f>
        <v>254</v>
      </c>
      <c r="K41" s="303">
        <v>224</v>
      </c>
      <c r="L41" s="303">
        <v>1120</v>
      </c>
      <c r="M41" s="357">
        <f t="shared" si="13"/>
        <v>860</v>
      </c>
      <c r="N41" s="451">
        <v>113.4</v>
      </c>
      <c r="O41" s="237">
        <f t="shared" si="0"/>
        <v>11040</v>
      </c>
    </row>
    <row r="42" spans="1:15" s="284" customFormat="1" ht="15" customHeight="1" x14ac:dyDescent="0.2">
      <c r="B42" s="268">
        <v>2018</v>
      </c>
      <c r="C42" s="206">
        <v>209</v>
      </c>
      <c r="D42" s="354">
        <v>1571</v>
      </c>
      <c r="E42" s="290" t="s">
        <v>50</v>
      </c>
      <c r="F42" s="354">
        <v>3002</v>
      </c>
      <c r="G42" s="302">
        <v>2734</v>
      </c>
      <c r="H42" s="302">
        <v>896</v>
      </c>
      <c r="I42" s="303">
        <v>90</v>
      </c>
      <c r="J42" s="354">
        <f t="shared" si="14"/>
        <v>254</v>
      </c>
      <c r="K42" s="303">
        <v>224</v>
      </c>
      <c r="L42" s="303">
        <v>1120</v>
      </c>
      <c r="M42" s="357">
        <f t="shared" si="13"/>
        <v>860</v>
      </c>
      <c r="N42" s="451">
        <v>113.4</v>
      </c>
      <c r="O42" s="237">
        <f t="shared" si="0"/>
        <v>10960</v>
      </c>
    </row>
    <row r="43" spans="1:15" s="284" customFormat="1" ht="15" customHeight="1" x14ac:dyDescent="0.2">
      <c r="B43" s="268">
        <v>2019</v>
      </c>
      <c r="C43" s="206">
        <f>72+65+36+36</f>
        <v>209</v>
      </c>
      <c r="D43" s="290">
        <f>327+99+150+144+39+286+44+89+62+18+123+107+83</f>
        <v>1571</v>
      </c>
      <c r="E43" s="290">
        <v>56</v>
      </c>
      <c r="F43" s="290">
        <f>471+448+79+21+111+82+178+58+100+61+5+362+20+85+6+131+238+95+153+166+99+219+109</f>
        <v>3297</v>
      </c>
      <c r="G43" s="302">
        <f>425+292+122+346+105+259+335+28+146+122+214+340</f>
        <v>2734</v>
      </c>
      <c r="H43" s="302">
        <f>122+52+20+44+86+25+182+29+205+38+78+40</f>
        <v>921</v>
      </c>
      <c r="I43" s="303">
        <v>90</v>
      </c>
      <c r="J43" s="354">
        <f t="shared" si="14"/>
        <v>254</v>
      </c>
      <c r="K43" s="303">
        <f>224</f>
        <v>224</v>
      </c>
      <c r="L43" s="303">
        <v>1120</v>
      </c>
      <c r="M43" s="357">
        <f t="shared" si="13"/>
        <v>860</v>
      </c>
      <c r="N43" s="450">
        <v>113</v>
      </c>
      <c r="O43" s="237">
        <f t="shared" si="0"/>
        <v>11336</v>
      </c>
    </row>
    <row r="44" spans="1:15" s="284" customFormat="1" ht="15" customHeight="1" x14ac:dyDescent="0.2">
      <c r="A44" s="328"/>
      <c r="B44" s="430">
        <v>2020</v>
      </c>
      <c r="C44" s="238">
        <v>209</v>
      </c>
      <c r="D44" s="238">
        <v>1571</v>
      </c>
      <c r="E44" s="238">
        <v>56</v>
      </c>
      <c r="F44" s="238">
        <v>3487</v>
      </c>
      <c r="G44" s="239">
        <f>425+292+122+346+105+259+335+28+146+122+214+340</f>
        <v>2734</v>
      </c>
      <c r="H44" s="239">
        <v>921</v>
      </c>
      <c r="I44" s="240">
        <v>90</v>
      </c>
      <c r="J44" s="356">
        <f t="shared" si="14"/>
        <v>254</v>
      </c>
      <c r="K44" s="240">
        <v>224</v>
      </c>
      <c r="L44" s="240">
        <v>1120</v>
      </c>
      <c r="M44" s="358">
        <v>860</v>
      </c>
      <c r="N44" s="356">
        <v>113</v>
      </c>
      <c r="O44" s="241">
        <f t="shared" si="0"/>
        <v>11526</v>
      </c>
    </row>
    <row r="45" spans="1:15" s="284" customFormat="1" ht="18" customHeight="1" x14ac:dyDescent="0.2">
      <c r="B45" s="523" t="s">
        <v>165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</row>
    <row r="46" spans="1:15" ht="39" customHeight="1" x14ac:dyDescent="0.2">
      <c r="A46" s="1"/>
      <c r="B46" s="516" t="s">
        <v>166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</row>
    <row r="47" spans="1:15" ht="18" customHeight="1" x14ac:dyDescent="0.2">
      <c r="A47" s="1"/>
      <c r="B47" s="516" t="s">
        <v>167</v>
      </c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</row>
    <row r="48" spans="1:15" ht="19.5" customHeight="1" x14ac:dyDescent="0.2">
      <c r="A48" s="1"/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</row>
    <row r="49" spans="2:14" ht="16.5" customHeight="1" x14ac:dyDescent="0.2"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</row>
    <row r="50" spans="2:14" ht="9.75" customHeight="1" x14ac:dyDescent="0.2">
      <c r="B50" s="520" t="s">
        <v>2</v>
      </c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14"/>
      <c r="N50" s="514"/>
    </row>
    <row r="51" spans="2:14" ht="12.75" customHeight="1" x14ac:dyDescent="0.2">
      <c r="B51" s="42"/>
      <c r="C51" s="518" t="s">
        <v>5</v>
      </c>
      <c r="D51" s="43"/>
      <c r="E51" s="43"/>
      <c r="F51" s="43"/>
      <c r="G51" s="43"/>
      <c r="H51" s="259"/>
      <c r="I51" s="259"/>
      <c r="J51" s="259"/>
      <c r="K51" s="46" t="s">
        <v>107</v>
      </c>
      <c r="L51" s="521" t="s">
        <v>70</v>
      </c>
      <c r="M51" s="456"/>
      <c r="N51" s="1"/>
    </row>
    <row r="52" spans="2:14" ht="12.75" customHeight="1" x14ac:dyDescent="0.2">
      <c r="B52" s="44"/>
      <c r="C52" s="519"/>
      <c r="D52" s="45"/>
      <c r="E52" s="45"/>
      <c r="F52" s="45"/>
      <c r="G52" s="45"/>
      <c r="H52" s="260"/>
      <c r="I52" s="260"/>
      <c r="J52" s="260"/>
      <c r="K52" s="47" t="s">
        <v>6</v>
      </c>
      <c r="L52" s="522"/>
    </row>
    <row r="53" spans="2:14" ht="13.5" customHeight="1" x14ac:dyDescent="0.2">
      <c r="B53" s="431" t="s">
        <v>38</v>
      </c>
      <c r="C53" s="432" t="s">
        <v>101</v>
      </c>
      <c r="D53" s="433"/>
      <c r="E53" s="433"/>
      <c r="F53" s="433"/>
      <c r="G53" s="433"/>
      <c r="H53" s="432"/>
      <c r="I53" s="432"/>
      <c r="J53" s="432"/>
      <c r="K53" s="434">
        <v>60</v>
      </c>
      <c r="L53" s="435">
        <v>2022</v>
      </c>
    </row>
    <row r="54" spans="2:14" ht="12.75" customHeight="1" x14ac:dyDescent="0.2">
      <c r="B54" s="436" t="s">
        <v>38</v>
      </c>
      <c r="C54" s="437" t="s">
        <v>102</v>
      </c>
      <c r="D54" s="437"/>
      <c r="E54" s="437"/>
      <c r="F54" s="438"/>
      <c r="G54" s="438"/>
      <c r="H54" s="437"/>
      <c r="I54" s="437"/>
      <c r="J54" s="437"/>
      <c r="K54" s="439">
        <v>25</v>
      </c>
      <c r="L54" s="440">
        <v>2024</v>
      </c>
    </row>
    <row r="55" spans="2:14" ht="12.75" customHeight="1" x14ac:dyDescent="0.2">
      <c r="B55" s="431" t="s">
        <v>38</v>
      </c>
      <c r="C55" s="432" t="s">
        <v>103</v>
      </c>
      <c r="D55" s="432"/>
      <c r="E55" s="432"/>
      <c r="F55" s="433"/>
      <c r="G55" s="433"/>
      <c r="H55" s="432"/>
      <c r="I55" s="432"/>
      <c r="J55" s="432"/>
      <c r="K55" s="434">
        <v>17</v>
      </c>
      <c r="L55" s="435">
        <v>2024</v>
      </c>
    </row>
    <row r="56" spans="2:14" ht="12.75" customHeight="1" x14ac:dyDescent="0.2">
      <c r="B56" s="436" t="s">
        <v>38</v>
      </c>
      <c r="C56" s="437" t="s">
        <v>172</v>
      </c>
      <c r="D56" s="437"/>
      <c r="E56" s="437"/>
      <c r="F56" s="438"/>
      <c r="G56" s="438"/>
      <c r="H56" s="437"/>
      <c r="I56" s="437"/>
      <c r="J56" s="437"/>
      <c r="K56" s="439">
        <v>32</v>
      </c>
      <c r="L56" s="440">
        <v>2025</v>
      </c>
    </row>
    <row r="57" spans="2:14" ht="12.75" customHeight="1" x14ac:dyDescent="0.2">
      <c r="B57" s="431" t="s">
        <v>38</v>
      </c>
      <c r="C57" s="432" t="s">
        <v>104</v>
      </c>
      <c r="D57" s="432"/>
      <c r="E57" s="432"/>
      <c r="F57" s="433"/>
      <c r="G57" s="433"/>
      <c r="H57" s="432"/>
      <c r="I57" s="432"/>
      <c r="J57" s="432"/>
      <c r="K57" s="434">
        <v>13</v>
      </c>
      <c r="L57" s="435">
        <v>2025</v>
      </c>
      <c r="M57" s="158"/>
    </row>
    <row r="58" spans="2:14" ht="12.75" customHeight="1" x14ac:dyDescent="0.2">
      <c r="B58" s="436" t="s">
        <v>39</v>
      </c>
      <c r="C58" s="437" t="s">
        <v>97</v>
      </c>
      <c r="D58" s="437"/>
      <c r="E58" s="437"/>
      <c r="F58" s="438"/>
      <c r="G58" s="438"/>
      <c r="H58" s="437"/>
      <c r="I58" s="437"/>
      <c r="J58" s="437"/>
      <c r="K58" s="439">
        <v>91</v>
      </c>
      <c r="L58" s="440">
        <v>2021</v>
      </c>
      <c r="M58" s="158"/>
    </row>
    <row r="59" spans="2:14" ht="12.75" customHeight="1" x14ac:dyDescent="0.2">
      <c r="B59" s="431" t="s">
        <v>39</v>
      </c>
      <c r="C59" s="432" t="s">
        <v>108</v>
      </c>
      <c r="D59" s="432"/>
      <c r="E59" s="432"/>
      <c r="F59" s="433"/>
      <c r="G59" s="433"/>
      <c r="H59" s="432"/>
      <c r="I59" s="432"/>
      <c r="J59" s="432"/>
      <c r="K59" s="434">
        <v>76</v>
      </c>
      <c r="L59" s="435">
        <v>2021</v>
      </c>
    </row>
    <row r="60" spans="2:14" ht="12.75" customHeight="1" x14ac:dyDescent="0.2">
      <c r="B60" s="436" t="s">
        <v>39</v>
      </c>
      <c r="C60" s="437" t="s">
        <v>109</v>
      </c>
      <c r="D60" s="437"/>
      <c r="E60" s="437"/>
      <c r="F60" s="438"/>
      <c r="G60" s="438"/>
      <c r="H60" s="437"/>
      <c r="I60" s="437"/>
      <c r="J60" s="437"/>
      <c r="K60" s="439">
        <v>246</v>
      </c>
      <c r="L60" s="440">
        <v>2021</v>
      </c>
    </row>
    <row r="61" spans="2:14" ht="12.75" customHeight="1" x14ac:dyDescent="0.2">
      <c r="B61" s="431" t="s">
        <v>39</v>
      </c>
      <c r="C61" s="432" t="s">
        <v>110</v>
      </c>
      <c r="D61" s="432"/>
      <c r="E61" s="432"/>
      <c r="F61" s="433"/>
      <c r="G61" s="433"/>
      <c r="H61" s="432"/>
      <c r="I61" s="432"/>
      <c r="J61" s="432"/>
      <c r="K61" s="434">
        <v>113</v>
      </c>
      <c r="L61" s="435">
        <v>2021</v>
      </c>
      <c r="N61" s="158"/>
    </row>
    <row r="62" spans="2:14" ht="12.75" customHeight="1" x14ac:dyDescent="0.2">
      <c r="B62" s="436" t="s">
        <v>39</v>
      </c>
      <c r="C62" s="437" t="s">
        <v>111</v>
      </c>
      <c r="D62" s="437"/>
      <c r="E62" s="437"/>
      <c r="F62" s="438"/>
      <c r="G62" s="438"/>
      <c r="H62" s="437"/>
      <c r="I62" s="437"/>
      <c r="J62" s="437"/>
      <c r="K62" s="439">
        <v>175</v>
      </c>
      <c r="L62" s="440">
        <v>2028</v>
      </c>
    </row>
    <row r="63" spans="2:14" ht="12.75" customHeight="1" x14ac:dyDescent="0.2">
      <c r="B63" s="431" t="s">
        <v>39</v>
      </c>
      <c r="C63" s="432" t="s">
        <v>158</v>
      </c>
      <c r="D63" s="432"/>
      <c r="E63" s="432"/>
      <c r="F63" s="433"/>
      <c r="G63" s="433"/>
      <c r="H63" s="432"/>
      <c r="I63" s="432"/>
      <c r="J63" s="432"/>
      <c r="K63" s="434">
        <v>64</v>
      </c>
      <c r="L63" s="435">
        <v>2021</v>
      </c>
    </row>
    <row r="64" spans="2:14" ht="12.75" customHeight="1" x14ac:dyDescent="0.2">
      <c r="B64" s="436" t="s">
        <v>39</v>
      </c>
      <c r="C64" s="437" t="s">
        <v>159</v>
      </c>
      <c r="D64" s="437"/>
      <c r="E64" s="437"/>
      <c r="F64" s="438"/>
      <c r="G64" s="438"/>
      <c r="H64" s="437"/>
      <c r="I64" s="437"/>
      <c r="J64" s="437"/>
      <c r="K64" s="439">
        <v>188</v>
      </c>
      <c r="L64" s="440" t="s">
        <v>50</v>
      </c>
    </row>
    <row r="65" spans="2:14" ht="12.75" customHeight="1" x14ac:dyDescent="0.2">
      <c r="B65" s="431" t="s">
        <v>39</v>
      </c>
      <c r="C65" s="432" t="s">
        <v>112</v>
      </c>
      <c r="D65" s="432"/>
      <c r="E65" s="432"/>
      <c r="F65" s="433"/>
      <c r="G65" s="433"/>
      <c r="H65" s="432"/>
      <c r="I65" s="432"/>
      <c r="J65" s="432"/>
      <c r="K65" s="434">
        <v>75</v>
      </c>
      <c r="L65" s="435" t="s">
        <v>50</v>
      </c>
    </row>
    <row r="66" spans="2:14" ht="12.75" customHeight="1" x14ac:dyDescent="0.2">
      <c r="B66" s="436" t="s">
        <v>39</v>
      </c>
      <c r="C66" s="437" t="s">
        <v>113</v>
      </c>
      <c r="D66" s="437"/>
      <c r="E66" s="437"/>
      <c r="F66" s="438"/>
      <c r="G66" s="438"/>
      <c r="H66" s="437"/>
      <c r="I66" s="437"/>
      <c r="J66" s="437"/>
      <c r="K66" s="439">
        <v>107</v>
      </c>
      <c r="L66" s="440" t="s">
        <v>50</v>
      </c>
    </row>
    <row r="67" spans="2:14" ht="12.75" customHeight="1" x14ac:dyDescent="0.2">
      <c r="B67" s="431" t="s">
        <v>42</v>
      </c>
      <c r="C67" s="432" t="s">
        <v>126</v>
      </c>
      <c r="D67" s="432"/>
      <c r="E67" s="432"/>
      <c r="F67" s="433"/>
      <c r="G67" s="433"/>
      <c r="H67" s="432"/>
      <c r="I67" s="432"/>
      <c r="J67" s="432"/>
      <c r="K67" s="434">
        <v>53</v>
      </c>
      <c r="L67" s="435">
        <v>2022</v>
      </c>
    </row>
    <row r="68" spans="2:14" ht="12.75" customHeight="1" x14ac:dyDescent="0.2">
      <c r="B68" s="436" t="s">
        <v>42</v>
      </c>
      <c r="C68" s="437" t="s">
        <v>114</v>
      </c>
      <c r="D68" s="437"/>
      <c r="E68" s="437"/>
      <c r="F68" s="438"/>
      <c r="G68" s="438"/>
      <c r="H68" s="437"/>
      <c r="I68" s="437"/>
      <c r="J68" s="437"/>
      <c r="K68" s="439">
        <v>45</v>
      </c>
      <c r="L68" s="462" t="s">
        <v>50</v>
      </c>
    </row>
    <row r="69" spans="2:14" ht="12.75" customHeight="1" x14ac:dyDescent="0.2">
      <c r="B69" s="431" t="s">
        <v>42</v>
      </c>
      <c r="C69" s="432" t="s">
        <v>115</v>
      </c>
      <c r="D69" s="432"/>
      <c r="E69" s="432"/>
      <c r="F69" s="433"/>
      <c r="G69" s="433"/>
      <c r="H69" s="432"/>
      <c r="I69" s="432"/>
      <c r="J69" s="432"/>
      <c r="K69" s="434">
        <v>150</v>
      </c>
      <c r="L69" s="435" t="s">
        <v>50</v>
      </c>
      <c r="M69" s="158"/>
    </row>
    <row r="70" spans="2:14" ht="12.75" customHeight="1" x14ac:dyDescent="0.2">
      <c r="B70" s="436" t="s">
        <v>42</v>
      </c>
      <c r="C70" s="437" t="s">
        <v>116</v>
      </c>
      <c r="D70" s="437"/>
      <c r="E70" s="437"/>
      <c r="F70" s="438"/>
      <c r="G70" s="438"/>
      <c r="H70" s="437"/>
      <c r="I70" s="437"/>
      <c r="J70" s="437"/>
      <c r="K70" s="439">
        <v>79</v>
      </c>
      <c r="L70" s="462" t="s">
        <v>50</v>
      </c>
    </row>
    <row r="71" spans="2:14" ht="12.75" customHeight="1" x14ac:dyDescent="0.2">
      <c r="B71" s="431" t="s">
        <v>44</v>
      </c>
      <c r="C71" s="432" t="s">
        <v>105</v>
      </c>
      <c r="D71" s="432"/>
      <c r="E71" s="432"/>
      <c r="F71" s="433"/>
      <c r="G71" s="433"/>
      <c r="H71" s="432"/>
      <c r="I71" s="432"/>
      <c r="J71" s="432"/>
      <c r="K71" s="434">
        <v>38</v>
      </c>
      <c r="L71" s="435">
        <v>2022</v>
      </c>
    </row>
    <row r="72" spans="2:14" ht="12.75" customHeight="1" x14ac:dyDescent="0.2">
      <c r="B72" s="436" t="s">
        <v>44</v>
      </c>
      <c r="C72" s="437" t="s">
        <v>154</v>
      </c>
      <c r="D72" s="437"/>
      <c r="E72" s="437"/>
      <c r="F72" s="438"/>
      <c r="G72" s="438"/>
      <c r="H72" s="437"/>
      <c r="I72" s="437"/>
      <c r="J72" s="437"/>
      <c r="K72" s="439">
        <v>47</v>
      </c>
      <c r="L72" s="440">
        <v>2023</v>
      </c>
    </row>
    <row r="73" spans="2:14" ht="12.75" customHeight="1" x14ac:dyDescent="0.2">
      <c r="B73" s="431" t="s">
        <v>44</v>
      </c>
      <c r="C73" s="432" t="s">
        <v>155</v>
      </c>
      <c r="D73" s="432"/>
      <c r="E73" s="432"/>
      <c r="F73" s="433"/>
      <c r="G73" s="433"/>
      <c r="H73" s="432"/>
      <c r="I73" s="432"/>
      <c r="J73" s="432"/>
      <c r="K73" s="434">
        <v>122</v>
      </c>
      <c r="L73" s="435">
        <v>2025</v>
      </c>
      <c r="N73" s="158"/>
    </row>
    <row r="74" spans="2:14" ht="15" customHeight="1" x14ac:dyDescent="0.2">
      <c r="B74" s="436" t="s">
        <v>44</v>
      </c>
      <c r="C74" s="437" t="s">
        <v>156</v>
      </c>
      <c r="D74" s="437"/>
      <c r="E74" s="437"/>
      <c r="F74" s="438"/>
      <c r="G74" s="438"/>
      <c r="H74" s="437"/>
      <c r="I74" s="437"/>
      <c r="J74" s="437"/>
      <c r="K74" s="439">
        <v>28</v>
      </c>
      <c r="L74" s="440">
        <v>2026</v>
      </c>
    </row>
    <row r="75" spans="2:14" ht="15" customHeight="1" x14ac:dyDescent="0.2">
      <c r="B75" s="431" t="s">
        <v>44</v>
      </c>
      <c r="C75" s="432" t="s">
        <v>157</v>
      </c>
      <c r="D75" s="432"/>
      <c r="E75" s="432"/>
      <c r="F75" s="433"/>
      <c r="G75" s="433"/>
      <c r="H75" s="432"/>
      <c r="I75" s="432"/>
      <c r="J75" s="432"/>
      <c r="K75" s="434">
        <v>46</v>
      </c>
      <c r="L75" s="435">
        <v>2027</v>
      </c>
    </row>
    <row r="76" spans="2:14" ht="15" customHeight="1" x14ac:dyDescent="0.2">
      <c r="B76" s="436" t="s">
        <v>47</v>
      </c>
      <c r="C76" s="437" t="s">
        <v>160</v>
      </c>
      <c r="D76" s="437"/>
      <c r="E76" s="437"/>
      <c r="F76" s="438"/>
      <c r="G76" s="438"/>
      <c r="H76" s="437"/>
      <c r="I76" s="437"/>
      <c r="J76" s="437"/>
      <c r="K76" s="439">
        <v>12</v>
      </c>
      <c r="L76" s="440">
        <v>2024</v>
      </c>
    </row>
    <row r="77" spans="2:14" ht="15" customHeight="1" x14ac:dyDescent="0.2">
      <c r="B77" s="431" t="s">
        <v>47</v>
      </c>
      <c r="C77" s="432" t="s">
        <v>161</v>
      </c>
      <c r="D77" s="432"/>
      <c r="E77" s="432"/>
      <c r="F77" s="433"/>
      <c r="G77" s="433"/>
      <c r="H77" s="432"/>
      <c r="I77" s="432"/>
      <c r="J77" s="432"/>
      <c r="K77" s="434">
        <v>11</v>
      </c>
      <c r="L77" s="435">
        <v>2024</v>
      </c>
    </row>
    <row r="78" spans="2:14" ht="15" customHeight="1" x14ac:dyDescent="0.2">
      <c r="B78" s="436" t="s">
        <v>47</v>
      </c>
      <c r="C78" s="437" t="s">
        <v>162</v>
      </c>
      <c r="D78" s="437"/>
      <c r="E78" s="437"/>
      <c r="F78" s="438"/>
      <c r="G78" s="438"/>
      <c r="H78" s="437"/>
      <c r="I78" s="437"/>
      <c r="J78" s="437"/>
      <c r="K78" s="439">
        <v>7</v>
      </c>
      <c r="L78" s="440">
        <v>2025</v>
      </c>
    </row>
    <row r="79" spans="2:14" ht="15" customHeight="1" x14ac:dyDescent="0.2">
      <c r="B79" s="431" t="s">
        <v>47</v>
      </c>
      <c r="C79" s="432" t="s">
        <v>163</v>
      </c>
      <c r="D79" s="432"/>
      <c r="E79" s="432"/>
      <c r="F79" s="433"/>
      <c r="G79" s="433"/>
      <c r="H79" s="432"/>
      <c r="I79" s="432"/>
      <c r="J79" s="432"/>
      <c r="K79" s="434">
        <v>24</v>
      </c>
      <c r="L79" s="435">
        <v>2025</v>
      </c>
    </row>
    <row r="80" spans="2:14" ht="15" customHeight="1" x14ac:dyDescent="0.2">
      <c r="B80" s="457" t="s">
        <v>47</v>
      </c>
      <c r="C80" s="458" t="s">
        <v>164</v>
      </c>
      <c r="D80" s="458"/>
      <c r="E80" s="458"/>
      <c r="F80" s="459"/>
      <c r="G80" s="459"/>
      <c r="H80" s="458"/>
      <c r="I80" s="458"/>
      <c r="J80" s="458"/>
      <c r="K80" s="460">
        <v>160</v>
      </c>
      <c r="L80" s="461">
        <v>2035</v>
      </c>
      <c r="N80" s="1"/>
    </row>
    <row r="81" spans="2:14" ht="15" customHeight="1" x14ac:dyDescent="0.2">
      <c r="B81" s="512" t="s">
        <v>150</v>
      </c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</row>
    <row r="82" spans="2:14" ht="15.75" customHeight="1" x14ac:dyDescent="0.2">
      <c r="B82" s="500" t="s">
        <v>145</v>
      </c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</row>
    <row r="83" spans="2:14" ht="15.75" customHeight="1" x14ac:dyDescent="0.2">
      <c r="B83" s="511"/>
      <c r="C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</row>
    <row r="84" spans="2:14" ht="27.75" customHeight="1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t="25.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24.95" customHeight="1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ht="11.25" customHeight="1" x14ac:dyDescent="0.2"/>
    <row r="88" spans="2:14" ht="11.25" customHeight="1" x14ac:dyDescent="0.2"/>
    <row r="89" spans="2:14" ht="12.75" customHeight="1" x14ac:dyDescent="0.2"/>
  </sheetData>
  <mergeCells count="13">
    <mergeCell ref="B1:C1"/>
    <mergeCell ref="B46:N46"/>
    <mergeCell ref="B47:N47"/>
    <mergeCell ref="C51:C52"/>
    <mergeCell ref="B50:N50"/>
    <mergeCell ref="L51:L52"/>
    <mergeCell ref="B45:N45"/>
    <mergeCell ref="B4:N4"/>
    <mergeCell ref="B82:N82"/>
    <mergeCell ref="B83:N83"/>
    <mergeCell ref="B81:N81"/>
    <mergeCell ref="B2:N2"/>
    <mergeCell ref="B3:N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48"/>
  <sheetViews>
    <sheetView topLeftCell="A4" workbookViewId="0">
      <selection activeCell="J8" sqref="J8"/>
    </sheetView>
  </sheetViews>
  <sheetFormatPr defaultRowHeight="12.75" x14ac:dyDescent="0.2"/>
  <cols>
    <col min="1" max="1" width="3.7109375" customWidth="1"/>
    <col min="2" max="2" width="5.7109375" customWidth="1"/>
    <col min="3" max="3" width="0.85546875" customWidth="1"/>
    <col min="4" max="4" width="9.28515625" customWidth="1"/>
    <col min="5" max="5" width="12.7109375" customWidth="1"/>
    <col min="6" max="7" width="8.7109375" customWidth="1"/>
  </cols>
  <sheetData>
    <row r="1" spans="1:9" ht="14.25" customHeight="1" x14ac:dyDescent="0.2">
      <c r="B1" s="29"/>
      <c r="G1" s="15" t="s">
        <v>85</v>
      </c>
    </row>
    <row r="2" spans="1:9" ht="14.25" customHeight="1" x14ac:dyDescent="0.25">
      <c r="B2" s="528" t="s">
        <v>138</v>
      </c>
      <c r="C2" s="528"/>
      <c r="D2" s="528"/>
      <c r="E2" s="528"/>
      <c r="F2" s="528"/>
      <c r="G2" s="528"/>
      <c r="I2" s="158"/>
    </row>
    <row r="3" spans="1:9" ht="20.100000000000001" customHeight="1" x14ac:dyDescent="0.2">
      <c r="B3" s="529" t="s">
        <v>139</v>
      </c>
      <c r="C3" s="529"/>
      <c r="D3" s="529"/>
      <c r="E3" s="529"/>
      <c r="F3" s="529"/>
      <c r="G3" s="529"/>
    </row>
    <row r="4" spans="1:9" ht="9.9499999999999993" customHeight="1" x14ac:dyDescent="0.2">
      <c r="B4" s="113"/>
      <c r="C4" s="113"/>
      <c r="D4" s="113"/>
      <c r="E4" s="113"/>
      <c r="F4" s="113"/>
      <c r="G4" s="113"/>
    </row>
    <row r="5" spans="1:9" ht="28.5" customHeight="1" x14ac:dyDescent="0.2">
      <c r="B5" s="19"/>
      <c r="C5" s="57"/>
      <c r="D5" s="58" t="s">
        <v>7</v>
      </c>
      <c r="E5" s="534" t="s">
        <v>8</v>
      </c>
      <c r="F5" s="535"/>
      <c r="G5" s="536"/>
    </row>
    <row r="6" spans="1:9" ht="15.75" customHeight="1" x14ac:dyDescent="0.2">
      <c r="B6" s="19"/>
      <c r="C6" s="59"/>
      <c r="D6" s="60" t="s">
        <v>9</v>
      </c>
      <c r="E6" s="104" t="s">
        <v>178</v>
      </c>
      <c r="F6" s="532" t="s">
        <v>179</v>
      </c>
      <c r="G6" s="533"/>
    </row>
    <row r="7" spans="1:9" ht="12" customHeight="1" x14ac:dyDescent="0.2">
      <c r="A7" s="25"/>
      <c r="B7" s="115" t="s">
        <v>37</v>
      </c>
      <c r="C7" s="48"/>
      <c r="D7" s="49">
        <v>1435</v>
      </c>
      <c r="E7" s="86">
        <v>3000</v>
      </c>
      <c r="F7" s="87">
        <v>25000</v>
      </c>
      <c r="G7" s="76" t="s">
        <v>59</v>
      </c>
    </row>
    <row r="8" spans="1:9" ht="12" customHeight="1" x14ac:dyDescent="0.2">
      <c r="A8" s="25"/>
      <c r="B8" s="65" t="s">
        <v>20</v>
      </c>
      <c r="C8" s="70"/>
      <c r="D8" s="71">
        <v>1435</v>
      </c>
      <c r="E8" s="88"/>
      <c r="F8" s="89">
        <v>25000</v>
      </c>
      <c r="G8" s="77" t="s">
        <v>59</v>
      </c>
    </row>
    <row r="9" spans="1:9" ht="12" customHeight="1" x14ac:dyDescent="0.2">
      <c r="A9" s="25"/>
      <c r="B9" s="116" t="s">
        <v>22</v>
      </c>
      <c r="C9" s="50"/>
      <c r="D9" s="51">
        <v>1435</v>
      </c>
      <c r="E9" s="90">
        <v>3000</v>
      </c>
      <c r="F9" s="91">
        <v>25000</v>
      </c>
      <c r="G9" s="78" t="s">
        <v>3</v>
      </c>
    </row>
    <row r="10" spans="1:9" ht="12" customHeight="1" x14ac:dyDescent="0.2">
      <c r="A10" s="25"/>
      <c r="B10" s="66" t="s">
        <v>33</v>
      </c>
      <c r="C10" s="72"/>
      <c r="D10" s="73">
        <v>1435</v>
      </c>
      <c r="E10" s="92">
        <v>3000</v>
      </c>
      <c r="F10" s="93">
        <v>25000</v>
      </c>
      <c r="G10" s="79" t="s">
        <v>59</v>
      </c>
    </row>
    <row r="11" spans="1:9" ht="12" customHeight="1" x14ac:dyDescent="0.2">
      <c r="A11" s="25"/>
      <c r="B11" s="10" t="s">
        <v>38</v>
      </c>
      <c r="C11" s="26"/>
      <c r="D11" s="23">
        <v>1435</v>
      </c>
      <c r="E11" s="94" t="s">
        <v>10</v>
      </c>
      <c r="F11" s="95">
        <v>15000</v>
      </c>
      <c r="G11" s="80" t="s">
        <v>58</v>
      </c>
    </row>
    <row r="12" spans="1:9" ht="11.1" customHeight="1" x14ac:dyDescent="0.2">
      <c r="A12" s="25"/>
      <c r="B12" s="116"/>
      <c r="C12" s="50"/>
      <c r="D12" s="51"/>
      <c r="E12" s="90" t="s">
        <v>11</v>
      </c>
      <c r="F12" s="91"/>
      <c r="G12" s="78"/>
    </row>
    <row r="13" spans="1:9" ht="12" customHeight="1" x14ac:dyDescent="0.2">
      <c r="A13" s="25"/>
      <c r="B13" s="66" t="s">
        <v>23</v>
      </c>
      <c r="C13" s="72"/>
      <c r="D13" s="73">
        <v>1520</v>
      </c>
      <c r="E13" s="92">
        <v>3000</v>
      </c>
      <c r="F13" s="93"/>
      <c r="G13" s="79"/>
    </row>
    <row r="14" spans="1:9" ht="12" customHeight="1" x14ac:dyDescent="0.2">
      <c r="A14" s="25"/>
      <c r="B14" s="117" t="s">
        <v>41</v>
      </c>
      <c r="C14" s="52"/>
      <c r="D14" s="53">
        <v>1600</v>
      </c>
      <c r="E14" s="96">
        <v>1500</v>
      </c>
      <c r="F14" s="97"/>
      <c r="G14" s="81"/>
    </row>
    <row r="15" spans="1:9" ht="12" customHeight="1" x14ac:dyDescent="0.2">
      <c r="A15" s="25"/>
      <c r="B15" s="67" t="s">
        <v>34</v>
      </c>
      <c r="C15" s="74"/>
      <c r="D15" s="75">
        <v>600</v>
      </c>
      <c r="E15" s="98"/>
      <c r="F15" s="99"/>
      <c r="G15" s="82"/>
    </row>
    <row r="16" spans="1:9" ht="12" customHeight="1" x14ac:dyDescent="0.2">
      <c r="A16" s="25"/>
      <c r="B16" s="67"/>
      <c r="C16" s="74"/>
      <c r="D16" s="75">
        <v>1000</v>
      </c>
      <c r="E16" s="98"/>
      <c r="F16" s="99"/>
      <c r="G16" s="82"/>
    </row>
    <row r="17" spans="1:7" ht="12" customHeight="1" x14ac:dyDescent="0.2">
      <c r="A17" s="25"/>
      <c r="B17" s="65"/>
      <c r="C17" s="70"/>
      <c r="D17" s="71">
        <v>1435</v>
      </c>
      <c r="E17" s="88"/>
      <c r="F17" s="89">
        <v>25000</v>
      </c>
      <c r="G17" s="77" t="s">
        <v>59</v>
      </c>
    </row>
    <row r="18" spans="1:7" ht="12" customHeight="1" x14ac:dyDescent="0.2">
      <c r="A18" s="25"/>
      <c r="B18" s="10" t="s">
        <v>12</v>
      </c>
      <c r="C18" s="26"/>
      <c r="D18" s="23">
        <v>1000</v>
      </c>
      <c r="E18" s="94">
        <v>1500</v>
      </c>
      <c r="F18" s="95"/>
      <c r="G18" s="80"/>
    </row>
    <row r="19" spans="1:7" ht="12" customHeight="1" x14ac:dyDescent="0.2">
      <c r="A19" s="25"/>
      <c r="B19" s="10"/>
      <c r="C19" s="26"/>
      <c r="D19" s="23">
        <v>1435</v>
      </c>
      <c r="E19" s="94"/>
      <c r="F19" s="95">
        <v>25000</v>
      </c>
      <c r="G19" s="80" t="s">
        <v>59</v>
      </c>
    </row>
    <row r="20" spans="1:7" ht="12" customHeight="1" x14ac:dyDescent="0.2">
      <c r="A20" s="25"/>
      <c r="B20" s="116"/>
      <c r="C20" s="50"/>
      <c r="D20" s="51">
        <v>1668</v>
      </c>
      <c r="E20" s="90">
        <v>3000</v>
      </c>
      <c r="F20" s="91"/>
      <c r="G20" s="78"/>
    </row>
    <row r="21" spans="1:7" ht="12" customHeight="1" x14ac:dyDescent="0.2">
      <c r="A21" s="25"/>
      <c r="B21" s="67" t="s">
        <v>40</v>
      </c>
      <c r="C21" s="74"/>
      <c r="D21" s="75">
        <v>1000</v>
      </c>
      <c r="E21" s="98" t="s">
        <v>13</v>
      </c>
      <c r="F21" s="99"/>
      <c r="G21" s="82"/>
    </row>
    <row r="22" spans="1:7" ht="11.1" customHeight="1" x14ac:dyDescent="0.2">
      <c r="A22" s="25"/>
      <c r="B22" s="67"/>
      <c r="C22" s="74"/>
      <c r="D22" s="75"/>
      <c r="E22" s="98" t="s">
        <v>11</v>
      </c>
      <c r="F22" s="99"/>
      <c r="G22" s="82"/>
    </row>
    <row r="23" spans="1:7" ht="12" customHeight="1" x14ac:dyDescent="0.2">
      <c r="A23" s="25"/>
      <c r="B23" s="67"/>
      <c r="C23" s="74"/>
      <c r="D23" s="71">
        <v>1435</v>
      </c>
      <c r="E23" s="88">
        <v>1500</v>
      </c>
      <c r="F23" s="89">
        <v>25000</v>
      </c>
      <c r="G23" s="77" t="s">
        <v>59</v>
      </c>
    </row>
    <row r="24" spans="1:7" ht="12" customHeight="1" x14ac:dyDescent="0.2">
      <c r="A24" s="25"/>
      <c r="B24" s="9" t="s">
        <v>51</v>
      </c>
      <c r="C24" s="26"/>
      <c r="D24" s="53">
        <v>1435</v>
      </c>
      <c r="E24" s="96">
        <v>3000</v>
      </c>
      <c r="F24" s="97">
        <v>25000</v>
      </c>
      <c r="G24" s="81" t="s">
        <v>59</v>
      </c>
    </row>
    <row r="25" spans="1:7" ht="12" customHeight="1" x14ac:dyDescent="0.2">
      <c r="A25" s="25"/>
      <c r="B25" s="165" t="s">
        <v>42</v>
      </c>
      <c r="C25" s="198"/>
      <c r="D25" s="167">
        <v>1435</v>
      </c>
      <c r="E25" s="168">
        <v>3000</v>
      </c>
      <c r="F25" s="169">
        <v>25000</v>
      </c>
      <c r="G25" s="170" t="s">
        <v>59</v>
      </c>
    </row>
    <row r="26" spans="1:7" ht="9.9499999999999993" customHeight="1" x14ac:dyDescent="0.2">
      <c r="A26" s="25"/>
      <c r="B26" s="117" t="s">
        <v>21</v>
      </c>
      <c r="C26" s="52"/>
      <c r="D26" s="54" t="s">
        <v>50</v>
      </c>
      <c r="E26" s="100" t="s">
        <v>50</v>
      </c>
      <c r="F26" s="101" t="s">
        <v>50</v>
      </c>
      <c r="G26" s="83" t="s">
        <v>50</v>
      </c>
    </row>
    <row r="27" spans="1:7" ht="12" customHeight="1" x14ac:dyDescent="0.2">
      <c r="A27" s="25"/>
      <c r="B27" s="171" t="s">
        <v>25</v>
      </c>
      <c r="C27" s="166"/>
      <c r="D27" s="167">
        <v>1520</v>
      </c>
      <c r="E27" s="168">
        <v>3000</v>
      </c>
      <c r="F27" s="172"/>
      <c r="G27" s="173"/>
    </row>
    <row r="28" spans="1:7" ht="12" customHeight="1" x14ac:dyDescent="0.2">
      <c r="A28" s="25"/>
      <c r="B28" s="117" t="s">
        <v>26</v>
      </c>
      <c r="C28" s="52"/>
      <c r="D28" s="53">
        <v>1520</v>
      </c>
      <c r="E28" s="96"/>
      <c r="F28" s="97">
        <v>25000</v>
      </c>
      <c r="G28" s="81" t="s">
        <v>59</v>
      </c>
    </row>
    <row r="29" spans="1:7" ht="12" customHeight="1" x14ac:dyDescent="0.2">
      <c r="A29" s="25"/>
      <c r="B29" s="171" t="s">
        <v>43</v>
      </c>
      <c r="C29" s="166"/>
      <c r="D29" s="167">
        <v>1435</v>
      </c>
      <c r="E29" s="168"/>
      <c r="F29" s="172">
        <v>25000</v>
      </c>
      <c r="G29" s="173" t="s">
        <v>59</v>
      </c>
    </row>
    <row r="30" spans="1:7" ht="12" customHeight="1" x14ac:dyDescent="0.2">
      <c r="A30" s="25"/>
      <c r="B30" s="117" t="s">
        <v>24</v>
      </c>
      <c r="C30" s="52"/>
      <c r="D30" s="53">
        <v>1435</v>
      </c>
      <c r="E30" s="96"/>
      <c r="F30" s="97">
        <v>25000</v>
      </c>
      <c r="G30" s="81" t="s">
        <v>59</v>
      </c>
    </row>
    <row r="31" spans="1:7" ht="9.9499999999999993" customHeight="1" x14ac:dyDescent="0.2">
      <c r="A31" s="25"/>
      <c r="B31" s="171" t="s">
        <v>27</v>
      </c>
      <c r="C31" s="166"/>
      <c r="D31" s="174" t="s">
        <v>50</v>
      </c>
      <c r="E31" s="175" t="s">
        <v>50</v>
      </c>
      <c r="F31" s="176" t="s">
        <v>50</v>
      </c>
      <c r="G31" s="177" t="s">
        <v>50</v>
      </c>
    </row>
    <row r="32" spans="1:7" ht="12" customHeight="1" x14ac:dyDescent="0.2">
      <c r="A32" s="25"/>
      <c r="B32" s="117" t="s">
        <v>35</v>
      </c>
      <c r="C32" s="52"/>
      <c r="D32" s="53">
        <v>1435</v>
      </c>
      <c r="E32" s="96">
        <v>1500</v>
      </c>
      <c r="F32" s="97"/>
      <c r="G32" s="81"/>
    </row>
    <row r="33" spans="1:7" ht="12" customHeight="1" x14ac:dyDescent="0.2">
      <c r="A33" s="25"/>
      <c r="B33" s="171" t="s">
        <v>44</v>
      </c>
      <c r="C33" s="166"/>
      <c r="D33" s="167">
        <v>1435</v>
      </c>
      <c r="E33" s="168"/>
      <c r="F33" s="172">
        <v>15000</v>
      </c>
      <c r="G33" s="173" t="s">
        <v>58</v>
      </c>
    </row>
    <row r="34" spans="1:7" ht="12" customHeight="1" x14ac:dyDescent="0.2">
      <c r="A34" s="7"/>
      <c r="B34" s="117" t="s">
        <v>28</v>
      </c>
      <c r="C34" s="52"/>
      <c r="D34" s="53">
        <v>1435</v>
      </c>
      <c r="E34" s="96">
        <v>3000</v>
      </c>
      <c r="F34" s="97"/>
      <c r="G34" s="81"/>
    </row>
    <row r="35" spans="1:7" ht="12" customHeight="1" x14ac:dyDescent="0.2">
      <c r="A35" s="7"/>
      <c r="B35" s="178" t="s">
        <v>45</v>
      </c>
      <c r="C35" s="179"/>
      <c r="D35" s="180">
        <v>1000</v>
      </c>
      <c r="E35" s="181"/>
      <c r="F35" s="182"/>
      <c r="G35" s="183"/>
    </row>
    <row r="36" spans="1:7" ht="12" customHeight="1" x14ac:dyDescent="0.2">
      <c r="A36" s="7"/>
      <c r="B36" s="116"/>
      <c r="C36" s="50"/>
      <c r="D36" s="51">
        <v>1668</v>
      </c>
      <c r="E36" s="90"/>
      <c r="F36" s="91">
        <v>25000</v>
      </c>
      <c r="G36" s="78" t="s">
        <v>59</v>
      </c>
    </row>
    <row r="37" spans="1:7" ht="12" customHeight="1" x14ac:dyDescent="0.2">
      <c r="A37" s="7"/>
      <c r="B37" s="184" t="s">
        <v>29</v>
      </c>
      <c r="C37" s="185"/>
      <c r="D37" s="186">
        <v>1435</v>
      </c>
      <c r="E37" s="187"/>
      <c r="F37" s="169">
        <v>25000</v>
      </c>
      <c r="G37" s="170" t="s">
        <v>59</v>
      </c>
    </row>
    <row r="38" spans="1:7" ht="12" customHeight="1" x14ac:dyDescent="0.2">
      <c r="A38" s="7"/>
      <c r="B38" s="117" t="s">
        <v>31</v>
      </c>
      <c r="C38" s="52"/>
      <c r="D38" s="53">
        <v>1435</v>
      </c>
      <c r="E38" s="96">
        <v>3000</v>
      </c>
      <c r="F38" s="97"/>
      <c r="G38" s="81"/>
    </row>
    <row r="39" spans="1:7" ht="12" customHeight="1" x14ac:dyDescent="0.2">
      <c r="A39" s="7"/>
      <c r="B39" s="171" t="s">
        <v>30</v>
      </c>
      <c r="C39" s="166"/>
      <c r="D39" s="167">
        <v>1435</v>
      </c>
      <c r="E39" s="168">
        <v>3000</v>
      </c>
      <c r="F39" s="172">
        <v>25000</v>
      </c>
      <c r="G39" s="173" t="s">
        <v>59</v>
      </c>
    </row>
    <row r="40" spans="1:7" ht="12" customHeight="1" x14ac:dyDescent="0.2">
      <c r="A40" s="7"/>
      <c r="B40" s="117" t="s">
        <v>46</v>
      </c>
      <c r="C40" s="52"/>
      <c r="D40" s="53">
        <v>1524</v>
      </c>
      <c r="E40" s="96"/>
      <c r="F40" s="97">
        <v>25000</v>
      </c>
      <c r="G40" s="81" t="s">
        <v>59</v>
      </c>
    </row>
    <row r="41" spans="1:7" ht="12" customHeight="1" x14ac:dyDescent="0.2">
      <c r="A41" s="7"/>
      <c r="B41" s="171" t="s">
        <v>47</v>
      </c>
      <c r="C41" s="166"/>
      <c r="D41" s="167">
        <v>1435</v>
      </c>
      <c r="E41" s="168"/>
      <c r="F41" s="172">
        <v>15000</v>
      </c>
      <c r="G41" s="173" t="s">
        <v>58</v>
      </c>
    </row>
    <row r="42" spans="1:7" ht="12" customHeight="1" x14ac:dyDescent="0.2">
      <c r="A42" s="7"/>
      <c r="B42" s="538" t="s">
        <v>36</v>
      </c>
      <c r="C42" s="26"/>
      <c r="D42" s="23">
        <v>1435</v>
      </c>
      <c r="E42" s="94">
        <v>750</v>
      </c>
      <c r="F42" s="95">
        <v>25000</v>
      </c>
      <c r="G42" s="80" t="s">
        <v>59</v>
      </c>
    </row>
    <row r="43" spans="1:7" ht="11.1" customHeight="1" x14ac:dyDescent="0.2">
      <c r="B43" s="539"/>
      <c r="C43" s="26"/>
      <c r="D43" s="55">
        <v>1600</v>
      </c>
      <c r="E43" s="94" t="s">
        <v>11</v>
      </c>
      <c r="F43" s="95"/>
      <c r="G43" s="84"/>
    </row>
    <row r="44" spans="1:7" ht="11.1" customHeight="1" x14ac:dyDescent="0.2">
      <c r="B44" s="539"/>
      <c r="C44" s="26"/>
      <c r="D44" s="56" t="s">
        <v>14</v>
      </c>
      <c r="E44" s="102"/>
      <c r="F44" s="103"/>
      <c r="G44" s="85"/>
    </row>
    <row r="45" spans="1:7" ht="24.95" customHeight="1" x14ac:dyDescent="0.2">
      <c r="B45" s="486" t="s">
        <v>73</v>
      </c>
      <c r="C45" s="537"/>
      <c r="D45" s="537"/>
      <c r="E45" s="537"/>
      <c r="F45" s="537"/>
      <c r="G45" s="537"/>
    </row>
    <row r="46" spans="1:7" ht="12.75" customHeight="1" x14ac:dyDescent="0.2">
      <c r="B46" s="530" t="s">
        <v>146</v>
      </c>
      <c r="C46" s="531"/>
      <c r="D46" s="531"/>
      <c r="E46" s="531"/>
      <c r="F46" s="531"/>
    </row>
    <row r="47" spans="1:7" ht="24.95" customHeight="1" x14ac:dyDescent="0.2">
      <c r="B47" s="527" t="s">
        <v>72</v>
      </c>
      <c r="C47" s="527"/>
      <c r="D47" s="527"/>
      <c r="E47" s="527"/>
      <c r="F47" s="527"/>
      <c r="G47" s="527"/>
    </row>
    <row r="48" spans="1:7" ht="12.75" customHeight="1" x14ac:dyDescent="0.2">
      <c r="B48" s="525" t="s">
        <v>71</v>
      </c>
      <c r="C48" s="526"/>
      <c r="D48" s="526"/>
      <c r="E48" s="526"/>
      <c r="F48" s="526"/>
      <c r="G48" s="526"/>
    </row>
  </sheetData>
  <mergeCells count="9">
    <mergeCell ref="B48:G48"/>
    <mergeCell ref="B47:G47"/>
    <mergeCell ref="B2:G2"/>
    <mergeCell ref="B3:G3"/>
    <mergeCell ref="B46:F46"/>
    <mergeCell ref="F6:G6"/>
    <mergeCell ref="E5:G5"/>
    <mergeCell ref="B45:G45"/>
    <mergeCell ref="B42:B44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J47"/>
  <sheetViews>
    <sheetView topLeftCell="A22" workbookViewId="0">
      <selection activeCell="O39" sqref="O39"/>
    </sheetView>
  </sheetViews>
  <sheetFormatPr defaultRowHeight="12.75" x14ac:dyDescent="0.2"/>
  <cols>
    <col min="1" max="1" width="3.85546875" customWidth="1"/>
    <col min="2" max="2" width="4.85546875" customWidth="1"/>
    <col min="3" max="8" width="8.7109375" customWidth="1"/>
    <col min="9" max="9" width="4.85546875" customWidth="1"/>
  </cols>
  <sheetData>
    <row r="1" spans="1:10" ht="14.25" customHeight="1" x14ac:dyDescent="0.2">
      <c r="A1" s="1"/>
      <c r="B1" s="484"/>
      <c r="C1" s="484"/>
      <c r="D1" s="24"/>
      <c r="E1" s="22"/>
      <c r="F1" s="22"/>
      <c r="G1" s="22"/>
      <c r="I1" s="17" t="s">
        <v>86</v>
      </c>
    </row>
    <row r="2" spans="1:10" ht="30" customHeight="1" x14ac:dyDescent="0.2">
      <c r="A2" s="1"/>
      <c r="B2" s="507" t="s">
        <v>140</v>
      </c>
      <c r="C2" s="507"/>
      <c r="D2" s="507"/>
      <c r="E2" s="507"/>
      <c r="F2" s="507"/>
      <c r="G2" s="507"/>
      <c r="H2" s="507"/>
      <c r="I2" s="507"/>
    </row>
    <row r="3" spans="1:10" ht="18" customHeight="1" x14ac:dyDescent="0.2">
      <c r="A3" s="1"/>
      <c r="B3" s="541" t="s">
        <v>173</v>
      </c>
      <c r="C3" s="541"/>
      <c r="D3" s="541"/>
      <c r="E3" s="541"/>
      <c r="F3" s="541"/>
      <c r="G3" s="541"/>
      <c r="H3" s="541"/>
      <c r="I3" s="541"/>
    </row>
    <row r="4" spans="1:10" ht="33.75" customHeight="1" x14ac:dyDescent="0.2">
      <c r="B4" s="31"/>
      <c r="C4" s="398" t="s">
        <v>53</v>
      </c>
      <c r="D4" s="401" t="s">
        <v>54</v>
      </c>
      <c r="E4" s="401" t="s">
        <v>55</v>
      </c>
      <c r="F4" s="401" t="s">
        <v>60</v>
      </c>
      <c r="G4" s="401" t="s">
        <v>56</v>
      </c>
      <c r="H4" s="397" t="s">
        <v>57</v>
      </c>
      <c r="I4" s="396"/>
    </row>
    <row r="5" spans="1:10" s="283" customFormat="1" ht="12.75" customHeight="1" x14ac:dyDescent="0.2">
      <c r="A5" s="311"/>
      <c r="B5" s="395" t="s">
        <v>106</v>
      </c>
      <c r="C5" s="399">
        <f>SUM(C7:C33)</f>
        <v>40</v>
      </c>
      <c r="D5" s="402">
        <f t="shared" ref="D5:H5" si="0">SUM(D7:D33)</f>
        <v>31</v>
      </c>
      <c r="E5" s="402">
        <f t="shared" si="0"/>
        <v>80</v>
      </c>
      <c r="F5" s="402">
        <f t="shared" si="0"/>
        <v>26</v>
      </c>
      <c r="G5" s="402">
        <f t="shared" si="0"/>
        <v>90</v>
      </c>
      <c r="H5" s="261">
        <f t="shared" si="0"/>
        <v>31</v>
      </c>
      <c r="I5" s="281" t="s">
        <v>106</v>
      </c>
    </row>
    <row r="6" spans="1:10" ht="12.75" customHeight="1" x14ac:dyDescent="0.2">
      <c r="B6" s="37" t="s">
        <v>94</v>
      </c>
      <c r="C6" s="400">
        <f>SUM(C7:C34)</f>
        <v>47</v>
      </c>
      <c r="D6" s="403">
        <f t="shared" ref="D6:H6" si="1">SUM(D7:D34)</f>
        <v>37</v>
      </c>
      <c r="E6" s="403">
        <f t="shared" si="1"/>
        <v>89</v>
      </c>
      <c r="F6" s="403">
        <f t="shared" si="1"/>
        <v>30</v>
      </c>
      <c r="G6" s="403">
        <f t="shared" si="1"/>
        <v>98</v>
      </c>
      <c r="H6" s="275">
        <f t="shared" si="1"/>
        <v>35</v>
      </c>
      <c r="I6" s="275" t="s">
        <v>94</v>
      </c>
    </row>
    <row r="7" spans="1:10" ht="12.75" customHeight="1" x14ac:dyDescent="0.2">
      <c r="A7" s="7"/>
      <c r="B7" s="8" t="s">
        <v>37</v>
      </c>
      <c r="C7" s="144">
        <v>1</v>
      </c>
      <c r="D7" s="145">
        <v>1</v>
      </c>
      <c r="E7" s="145"/>
      <c r="F7" s="145"/>
      <c r="G7" s="145">
        <v>3</v>
      </c>
      <c r="H7" s="141"/>
      <c r="I7" s="8" t="s">
        <v>37</v>
      </c>
    </row>
    <row r="8" spans="1:10" ht="12.75" customHeight="1" x14ac:dyDescent="0.2">
      <c r="A8" s="7"/>
      <c r="B8" s="38" t="s">
        <v>20</v>
      </c>
      <c r="C8" s="146"/>
      <c r="D8" s="147">
        <v>1</v>
      </c>
      <c r="E8" s="147">
        <v>2</v>
      </c>
      <c r="F8" s="147"/>
      <c r="G8" s="147"/>
      <c r="H8" s="118"/>
      <c r="I8" s="38" t="s">
        <v>20</v>
      </c>
      <c r="J8" s="283"/>
    </row>
    <row r="9" spans="1:10" ht="12.75" customHeight="1" x14ac:dyDescent="0.2">
      <c r="A9" s="7"/>
      <c r="B9" s="9" t="s">
        <v>22</v>
      </c>
      <c r="C9" s="148">
        <v>1</v>
      </c>
      <c r="D9" s="149"/>
      <c r="E9" s="149"/>
      <c r="F9" s="149">
        <v>1</v>
      </c>
      <c r="G9" s="149">
        <v>1</v>
      </c>
      <c r="H9" s="125">
        <v>2</v>
      </c>
      <c r="I9" s="9" t="s">
        <v>22</v>
      </c>
      <c r="J9" s="283"/>
    </row>
    <row r="10" spans="1:10" ht="12.75" customHeight="1" x14ac:dyDescent="0.2">
      <c r="A10" s="7"/>
      <c r="B10" s="38" t="s">
        <v>33</v>
      </c>
      <c r="C10" s="146">
        <v>1</v>
      </c>
      <c r="D10" s="147"/>
      <c r="E10" s="147">
        <v>2</v>
      </c>
      <c r="F10" s="147"/>
      <c r="G10" s="147">
        <v>3</v>
      </c>
      <c r="H10" s="118">
        <v>2</v>
      </c>
      <c r="I10" s="38" t="s">
        <v>33</v>
      </c>
      <c r="J10" s="283"/>
    </row>
    <row r="11" spans="1:10" ht="12.75" customHeight="1" x14ac:dyDescent="0.2">
      <c r="A11" s="7"/>
      <c r="B11" s="9" t="s">
        <v>38</v>
      </c>
      <c r="C11" s="148">
        <v>8</v>
      </c>
      <c r="D11" s="149">
        <v>1</v>
      </c>
      <c r="E11" s="149">
        <v>9</v>
      </c>
      <c r="F11" s="149">
        <v>2</v>
      </c>
      <c r="G11" s="149">
        <v>4</v>
      </c>
      <c r="H11" s="125"/>
      <c r="I11" s="9" t="s">
        <v>38</v>
      </c>
      <c r="J11" s="283"/>
    </row>
    <row r="12" spans="1:10" ht="12.75" customHeight="1" x14ac:dyDescent="0.2">
      <c r="A12" s="7"/>
      <c r="B12" s="38" t="s">
        <v>23</v>
      </c>
      <c r="C12" s="146"/>
      <c r="D12" s="147"/>
      <c r="E12" s="147">
        <v>1</v>
      </c>
      <c r="F12" s="147"/>
      <c r="G12" s="147"/>
      <c r="H12" s="118"/>
      <c r="I12" s="38" t="s">
        <v>23</v>
      </c>
      <c r="J12" s="283"/>
    </row>
    <row r="13" spans="1:10" ht="12.75" customHeight="1" x14ac:dyDescent="0.2">
      <c r="A13" s="7"/>
      <c r="B13" s="9" t="s">
        <v>41</v>
      </c>
      <c r="C13" s="148">
        <v>1</v>
      </c>
      <c r="D13" s="149"/>
      <c r="E13" s="149">
        <v>2</v>
      </c>
      <c r="F13" s="149">
        <v>1</v>
      </c>
      <c r="G13" s="149">
        <v>1</v>
      </c>
      <c r="H13" s="125"/>
      <c r="I13" s="9" t="s">
        <v>41</v>
      </c>
      <c r="J13" s="283"/>
    </row>
    <row r="14" spans="1:10" ht="12.75" customHeight="1" x14ac:dyDescent="0.2">
      <c r="A14" s="7"/>
      <c r="B14" s="38" t="s">
        <v>34</v>
      </c>
      <c r="C14" s="146">
        <v>1</v>
      </c>
      <c r="D14" s="147">
        <v>3</v>
      </c>
      <c r="E14" s="147">
        <v>6</v>
      </c>
      <c r="F14" s="147">
        <v>2</v>
      </c>
      <c r="G14" s="147">
        <v>12</v>
      </c>
      <c r="H14" s="118">
        <v>9</v>
      </c>
      <c r="I14" s="38" t="s">
        <v>34</v>
      </c>
      <c r="J14" s="283"/>
    </row>
    <row r="15" spans="1:10" ht="12.75" customHeight="1" x14ac:dyDescent="0.2">
      <c r="A15" s="7"/>
      <c r="B15" s="9" t="s">
        <v>39</v>
      </c>
      <c r="C15" s="148">
        <v>7</v>
      </c>
      <c r="D15" s="149">
        <v>7</v>
      </c>
      <c r="E15" s="149">
        <v>11</v>
      </c>
      <c r="F15" s="149">
        <v>1</v>
      </c>
      <c r="G15" s="149">
        <v>7</v>
      </c>
      <c r="H15" s="125">
        <v>1</v>
      </c>
      <c r="I15" s="9" t="s">
        <v>39</v>
      </c>
      <c r="J15" s="283"/>
    </row>
    <row r="16" spans="1:10" ht="12.75" customHeight="1" x14ac:dyDescent="0.2">
      <c r="A16" s="7"/>
      <c r="B16" s="38" t="s">
        <v>40</v>
      </c>
      <c r="C16" s="146">
        <v>5</v>
      </c>
      <c r="D16" s="147">
        <v>3</v>
      </c>
      <c r="E16" s="147">
        <v>11</v>
      </c>
      <c r="F16" s="147">
        <v>6</v>
      </c>
      <c r="G16" s="147">
        <v>18</v>
      </c>
      <c r="H16" s="118">
        <v>1</v>
      </c>
      <c r="I16" s="38" t="s">
        <v>40</v>
      </c>
      <c r="J16" s="283"/>
    </row>
    <row r="17" spans="1:10" ht="12.75" customHeight="1" x14ac:dyDescent="0.2">
      <c r="A17" s="7"/>
      <c r="B17" s="9" t="s">
        <v>51</v>
      </c>
      <c r="C17" s="148"/>
      <c r="D17" s="149"/>
      <c r="E17" s="149">
        <v>3</v>
      </c>
      <c r="F17" s="149">
        <v>2</v>
      </c>
      <c r="G17" s="149"/>
      <c r="H17" s="125"/>
      <c r="I17" s="9" t="s">
        <v>51</v>
      </c>
      <c r="J17" s="283"/>
    </row>
    <row r="18" spans="1:10" ht="12.75" customHeight="1" x14ac:dyDescent="0.2">
      <c r="A18" s="7"/>
      <c r="B18" s="155" t="s">
        <v>42</v>
      </c>
      <c r="C18" s="188">
        <v>6</v>
      </c>
      <c r="D18" s="189">
        <v>6</v>
      </c>
      <c r="E18" s="189">
        <v>10</v>
      </c>
      <c r="F18" s="189">
        <v>2</v>
      </c>
      <c r="G18" s="189">
        <v>8</v>
      </c>
      <c r="H18" s="143">
        <v>2</v>
      </c>
      <c r="I18" s="155" t="s">
        <v>42</v>
      </c>
      <c r="J18" s="283"/>
    </row>
    <row r="19" spans="1:10" ht="12.75" customHeight="1" x14ac:dyDescent="0.2">
      <c r="A19" s="7"/>
      <c r="B19" s="9" t="s">
        <v>21</v>
      </c>
      <c r="C19" s="148"/>
      <c r="D19" s="149">
        <v>1</v>
      </c>
      <c r="E19" s="149">
        <v>1</v>
      </c>
      <c r="F19" s="149"/>
      <c r="G19" s="149"/>
      <c r="H19" s="125"/>
      <c r="I19" s="9" t="s">
        <v>21</v>
      </c>
      <c r="J19" s="283"/>
    </row>
    <row r="20" spans="1:10" ht="12.75" customHeight="1" x14ac:dyDescent="0.2">
      <c r="A20" s="7"/>
      <c r="B20" s="155" t="s">
        <v>25</v>
      </c>
      <c r="C20" s="188"/>
      <c r="D20" s="189">
        <v>1</v>
      </c>
      <c r="E20" s="189"/>
      <c r="F20" s="189"/>
      <c r="G20" s="189"/>
      <c r="H20" s="143"/>
      <c r="I20" s="155" t="s">
        <v>25</v>
      </c>
      <c r="J20" s="283"/>
    </row>
    <row r="21" spans="1:10" ht="12.75" customHeight="1" x14ac:dyDescent="0.2">
      <c r="A21" s="7"/>
      <c r="B21" s="9" t="s">
        <v>26</v>
      </c>
      <c r="C21" s="148"/>
      <c r="D21" s="149">
        <v>1</v>
      </c>
      <c r="E21" s="149">
        <v>1</v>
      </c>
      <c r="F21" s="149"/>
      <c r="G21" s="149">
        <v>1</v>
      </c>
      <c r="H21" s="125"/>
      <c r="I21" s="9" t="s">
        <v>26</v>
      </c>
      <c r="J21" s="283"/>
    </row>
    <row r="22" spans="1:10" ht="12.75" customHeight="1" x14ac:dyDescent="0.2">
      <c r="A22" s="7"/>
      <c r="B22" s="155" t="s">
        <v>43</v>
      </c>
      <c r="C22" s="188"/>
      <c r="D22" s="189"/>
      <c r="E22" s="189">
        <v>1</v>
      </c>
      <c r="F22" s="189"/>
      <c r="G22" s="189"/>
      <c r="H22" s="143"/>
      <c r="I22" s="155" t="s">
        <v>43</v>
      </c>
      <c r="J22" s="283"/>
    </row>
    <row r="23" spans="1:10" ht="12.75" customHeight="1" x14ac:dyDescent="0.2">
      <c r="A23" s="7"/>
      <c r="B23" s="9" t="s">
        <v>24</v>
      </c>
      <c r="C23" s="148">
        <v>1</v>
      </c>
      <c r="D23" s="149"/>
      <c r="E23" s="149"/>
      <c r="F23" s="149">
        <v>1</v>
      </c>
      <c r="G23" s="149"/>
      <c r="H23" s="125"/>
      <c r="I23" s="9" t="s">
        <v>24</v>
      </c>
      <c r="J23" s="283"/>
    </row>
    <row r="24" spans="1:10" ht="12.75" customHeight="1" x14ac:dyDescent="0.2">
      <c r="A24" s="7"/>
      <c r="B24" s="155" t="s">
        <v>27</v>
      </c>
      <c r="C24" s="188"/>
      <c r="D24" s="189">
        <v>1</v>
      </c>
      <c r="E24" s="189"/>
      <c r="F24" s="189"/>
      <c r="G24" s="189"/>
      <c r="H24" s="143"/>
      <c r="I24" s="155" t="s">
        <v>27</v>
      </c>
      <c r="J24" s="283"/>
    </row>
    <row r="25" spans="1:10" ht="12.75" customHeight="1" x14ac:dyDescent="0.2">
      <c r="A25" s="7"/>
      <c r="B25" s="9" t="s">
        <v>35</v>
      </c>
      <c r="C25" s="148">
        <v>1</v>
      </c>
      <c r="D25" s="149">
        <v>1</v>
      </c>
      <c r="E25" s="149">
        <v>1</v>
      </c>
      <c r="F25" s="149"/>
      <c r="G25" s="149">
        <v>2</v>
      </c>
      <c r="H25" s="125"/>
      <c r="I25" s="9" t="s">
        <v>35</v>
      </c>
      <c r="J25" s="283"/>
    </row>
    <row r="26" spans="1:10" ht="12.75" customHeight="1" x14ac:dyDescent="0.2">
      <c r="A26" s="7"/>
      <c r="B26" s="155" t="s">
        <v>44</v>
      </c>
      <c r="C26" s="188">
        <v>1</v>
      </c>
      <c r="D26" s="189"/>
      <c r="E26" s="189">
        <v>3</v>
      </c>
      <c r="F26" s="189"/>
      <c r="G26" s="189">
        <v>2</v>
      </c>
      <c r="H26" s="143"/>
      <c r="I26" s="155" t="s">
        <v>44</v>
      </c>
      <c r="J26" s="283"/>
    </row>
    <row r="27" spans="1:10" ht="12.75" customHeight="1" x14ac:dyDescent="0.2">
      <c r="A27" s="7"/>
      <c r="B27" s="9" t="s">
        <v>28</v>
      </c>
      <c r="C27" s="148">
        <v>1</v>
      </c>
      <c r="D27" s="149">
        <v>2</v>
      </c>
      <c r="E27" s="149">
        <v>4</v>
      </c>
      <c r="F27" s="149">
        <v>2</v>
      </c>
      <c r="G27" s="149">
        <v>3</v>
      </c>
      <c r="H27" s="125"/>
      <c r="I27" s="9" t="s">
        <v>28</v>
      </c>
      <c r="J27" s="283"/>
    </row>
    <row r="28" spans="1:10" ht="12.75" customHeight="1" x14ac:dyDescent="0.2">
      <c r="A28" s="7"/>
      <c r="B28" s="155" t="s">
        <v>45</v>
      </c>
      <c r="C28" s="188">
        <v>2</v>
      </c>
      <c r="D28" s="189">
        <v>1</v>
      </c>
      <c r="E28" s="189">
        <v>2</v>
      </c>
      <c r="F28" s="189">
        <v>1</v>
      </c>
      <c r="G28" s="189">
        <v>4</v>
      </c>
      <c r="H28" s="143">
        <v>3</v>
      </c>
      <c r="I28" s="155" t="s">
        <v>45</v>
      </c>
      <c r="J28" s="283"/>
    </row>
    <row r="29" spans="1:10" ht="12.75" customHeight="1" x14ac:dyDescent="0.2">
      <c r="A29" s="7"/>
      <c r="B29" s="9" t="s">
        <v>29</v>
      </c>
      <c r="C29" s="148">
        <v>1</v>
      </c>
      <c r="D29" s="149"/>
      <c r="E29" s="149">
        <v>3</v>
      </c>
      <c r="F29" s="149">
        <v>2</v>
      </c>
      <c r="G29" s="149">
        <v>3</v>
      </c>
      <c r="H29" s="125">
        <v>3</v>
      </c>
      <c r="I29" s="9" t="s">
        <v>29</v>
      </c>
      <c r="J29" s="283"/>
    </row>
    <row r="30" spans="1:10" ht="12.75" customHeight="1" x14ac:dyDescent="0.2">
      <c r="A30" s="7"/>
      <c r="B30" s="155" t="s">
        <v>31</v>
      </c>
      <c r="C30" s="188"/>
      <c r="D30" s="189"/>
      <c r="E30" s="189">
        <v>1</v>
      </c>
      <c r="F30" s="189"/>
      <c r="G30" s="189"/>
      <c r="H30" s="143"/>
      <c r="I30" s="155" t="s">
        <v>31</v>
      </c>
      <c r="J30" s="283"/>
    </row>
    <row r="31" spans="1:10" ht="12.75" customHeight="1" x14ac:dyDescent="0.2">
      <c r="A31" s="7"/>
      <c r="B31" s="9" t="s">
        <v>30</v>
      </c>
      <c r="C31" s="148"/>
      <c r="D31" s="149"/>
      <c r="E31" s="149">
        <v>1</v>
      </c>
      <c r="F31" s="149">
        <v>1</v>
      </c>
      <c r="G31" s="149"/>
      <c r="H31" s="125"/>
      <c r="I31" s="9" t="s">
        <v>30</v>
      </c>
      <c r="J31" s="283"/>
    </row>
    <row r="32" spans="1:10" ht="12.75" customHeight="1" x14ac:dyDescent="0.2">
      <c r="A32" s="7"/>
      <c r="B32" s="155" t="s">
        <v>46</v>
      </c>
      <c r="C32" s="188">
        <v>1</v>
      </c>
      <c r="D32" s="189"/>
      <c r="E32" s="189">
        <v>1</v>
      </c>
      <c r="F32" s="189">
        <v>1</v>
      </c>
      <c r="G32" s="189">
        <v>8</v>
      </c>
      <c r="H32" s="143">
        <v>6</v>
      </c>
      <c r="I32" s="155" t="s">
        <v>46</v>
      </c>
      <c r="J32" s="283"/>
    </row>
    <row r="33" spans="1:10" ht="12.75" customHeight="1" x14ac:dyDescent="0.2">
      <c r="A33" s="7"/>
      <c r="B33" s="9" t="s">
        <v>47</v>
      </c>
      <c r="C33" s="148">
        <v>1</v>
      </c>
      <c r="D33" s="149">
        <v>1</v>
      </c>
      <c r="E33" s="149">
        <v>4</v>
      </c>
      <c r="F33" s="149">
        <v>1</v>
      </c>
      <c r="G33" s="149">
        <v>10</v>
      </c>
      <c r="H33" s="125">
        <v>2</v>
      </c>
      <c r="I33" s="9" t="s">
        <v>47</v>
      </c>
      <c r="J33" s="283"/>
    </row>
    <row r="34" spans="1:10" ht="12.75" customHeight="1" x14ac:dyDescent="0.2">
      <c r="A34" s="7"/>
      <c r="B34" s="313" t="s">
        <v>36</v>
      </c>
      <c r="C34" s="314">
        <v>7</v>
      </c>
      <c r="D34" s="315">
        <v>6</v>
      </c>
      <c r="E34" s="315">
        <v>9</v>
      </c>
      <c r="F34" s="315">
        <v>4</v>
      </c>
      <c r="G34" s="315">
        <v>8</v>
      </c>
      <c r="H34" s="316">
        <v>4</v>
      </c>
      <c r="I34" s="313" t="s">
        <v>36</v>
      </c>
      <c r="J34" s="283"/>
    </row>
    <row r="35" spans="1:10" ht="12.75" customHeight="1" x14ac:dyDescent="0.2">
      <c r="A35" s="7"/>
      <c r="B35" s="9" t="s">
        <v>91</v>
      </c>
      <c r="C35" s="148"/>
      <c r="D35" s="149"/>
      <c r="E35" s="149">
        <v>2</v>
      </c>
      <c r="F35" s="149"/>
      <c r="G35" s="149"/>
      <c r="H35" s="236"/>
      <c r="I35" s="9" t="s">
        <v>91</v>
      </c>
    </row>
    <row r="36" spans="1:10" ht="12.75" customHeight="1" x14ac:dyDescent="0.2">
      <c r="A36" s="7"/>
      <c r="B36" s="155" t="s">
        <v>0</v>
      </c>
      <c r="C36" s="188"/>
      <c r="D36" s="189"/>
      <c r="E36" s="189">
        <v>1</v>
      </c>
      <c r="F36" s="189"/>
      <c r="G36" s="189"/>
      <c r="H36" s="235"/>
      <c r="I36" s="155" t="s">
        <v>0</v>
      </c>
    </row>
    <row r="37" spans="1:10" ht="12.75" customHeight="1" x14ac:dyDescent="0.2">
      <c r="A37" s="7"/>
      <c r="B37" s="9" t="s">
        <v>93</v>
      </c>
      <c r="C37" s="148"/>
      <c r="D37" s="149"/>
      <c r="E37" s="149">
        <v>1</v>
      </c>
      <c r="F37" s="149"/>
      <c r="G37" s="149"/>
      <c r="H37" s="236"/>
      <c r="I37" s="9" t="s">
        <v>93</v>
      </c>
    </row>
    <row r="38" spans="1:10" ht="12.75" customHeight="1" x14ac:dyDescent="0.2">
      <c r="A38" s="7"/>
      <c r="B38" s="155" t="s">
        <v>92</v>
      </c>
      <c r="C38" s="188"/>
      <c r="D38" s="189">
        <v>1</v>
      </c>
      <c r="E38" s="189"/>
      <c r="F38" s="189"/>
      <c r="G38" s="189">
        <v>1</v>
      </c>
      <c r="H38" s="143"/>
      <c r="I38" s="155" t="s">
        <v>92</v>
      </c>
    </row>
    <row r="39" spans="1:10" ht="12.75" customHeight="1" x14ac:dyDescent="0.2">
      <c r="A39" s="7"/>
      <c r="B39" s="11" t="s">
        <v>32</v>
      </c>
      <c r="C39" s="324">
        <v>10</v>
      </c>
      <c r="D39" s="325">
        <v>1</v>
      </c>
      <c r="E39" s="325">
        <v>13</v>
      </c>
      <c r="F39" s="325">
        <v>8</v>
      </c>
      <c r="G39" s="325">
        <v>17</v>
      </c>
      <c r="H39" s="326">
        <v>7</v>
      </c>
      <c r="I39" s="11" t="s">
        <v>32</v>
      </c>
      <c r="J39" s="158"/>
    </row>
    <row r="40" spans="1:10" ht="12.75" customHeight="1" x14ac:dyDescent="0.2">
      <c r="A40" s="7"/>
      <c r="B40" s="155" t="s">
        <v>18</v>
      </c>
      <c r="C40" s="188"/>
      <c r="D40" s="189">
        <v>1</v>
      </c>
      <c r="E40" s="189"/>
      <c r="F40" s="189"/>
      <c r="G40" s="189">
        <v>2</v>
      </c>
      <c r="H40" s="142"/>
      <c r="I40" s="155" t="s">
        <v>18</v>
      </c>
      <c r="J40" s="158"/>
    </row>
    <row r="41" spans="1:10" ht="12.75" customHeight="1" x14ac:dyDescent="0.2">
      <c r="A41" s="7"/>
      <c r="B41" s="9" t="s">
        <v>48</v>
      </c>
      <c r="C41" s="148">
        <v>1</v>
      </c>
      <c r="D41" s="149">
        <v>1</v>
      </c>
      <c r="E41" s="149">
        <v>7</v>
      </c>
      <c r="F41" s="149">
        <v>2</v>
      </c>
      <c r="G41" s="149">
        <v>11</v>
      </c>
      <c r="H41" s="125">
        <v>6</v>
      </c>
      <c r="I41" s="9" t="s">
        <v>48</v>
      </c>
      <c r="J41" s="149"/>
    </row>
    <row r="42" spans="1:10" ht="12.75" customHeight="1" x14ac:dyDescent="0.2">
      <c r="A42" s="7"/>
      <c r="B42" s="163" t="s">
        <v>19</v>
      </c>
      <c r="C42" s="190">
        <v>2</v>
      </c>
      <c r="D42" s="191">
        <v>1</v>
      </c>
      <c r="E42" s="191"/>
      <c r="F42" s="191"/>
      <c r="G42" s="191">
        <v>1</v>
      </c>
      <c r="H42" s="192">
        <v>2</v>
      </c>
      <c r="I42" s="163" t="s">
        <v>19</v>
      </c>
    </row>
    <row r="43" spans="1:10" ht="18.75" customHeight="1" x14ac:dyDescent="0.2">
      <c r="A43" s="7"/>
      <c r="B43" s="540" t="s">
        <v>123</v>
      </c>
      <c r="C43" s="486"/>
      <c r="D43" s="486"/>
      <c r="E43" s="486"/>
      <c r="F43" s="486"/>
      <c r="G43" s="486"/>
      <c r="H43" s="150"/>
    </row>
    <row r="44" spans="1:10" ht="34.5" customHeight="1" x14ac:dyDescent="0.2">
      <c r="A44" s="7"/>
      <c r="B44" s="512" t="s">
        <v>147</v>
      </c>
      <c r="C44" s="512"/>
      <c r="D44" s="512"/>
      <c r="E44" s="512"/>
      <c r="F44" s="512"/>
      <c r="G44" s="512"/>
      <c r="H44" s="512"/>
      <c r="I44" s="512"/>
    </row>
    <row r="45" spans="1:10" ht="23.25" customHeight="1" x14ac:dyDescent="0.2"/>
    <row r="46" spans="1:10" ht="12.75" customHeight="1" x14ac:dyDescent="0.2"/>
    <row r="47" spans="1:10" ht="12.75" customHeight="1" x14ac:dyDescent="0.2"/>
  </sheetData>
  <mergeCells count="5">
    <mergeCell ref="B44:I44"/>
    <mergeCell ref="B1:C1"/>
    <mergeCell ref="B43:G43"/>
    <mergeCell ref="B2:I2"/>
    <mergeCell ref="B3:I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G47"/>
  <sheetViews>
    <sheetView zoomScaleNormal="100" workbookViewId="0">
      <selection activeCell="AH31" sqref="AH31"/>
    </sheetView>
  </sheetViews>
  <sheetFormatPr defaultColWidth="9.140625" defaultRowHeight="12.75" x14ac:dyDescent="0.2"/>
  <cols>
    <col min="1" max="1" width="2.7109375" customWidth="1"/>
    <col min="2" max="2" width="4" customWidth="1"/>
    <col min="3" max="5" width="6" customWidth="1"/>
    <col min="6" max="10" width="6.7109375" customWidth="1"/>
    <col min="11" max="13" width="6" customWidth="1"/>
    <col min="14" max="15" width="6.7109375" customWidth="1"/>
    <col min="16" max="22" width="7.28515625" customWidth="1"/>
    <col min="23" max="26" width="7.42578125" customWidth="1"/>
    <col min="27" max="27" width="7.42578125" style="283" customWidth="1"/>
    <col min="28" max="28" width="7.42578125" customWidth="1"/>
    <col min="29" max="30" width="7.42578125" style="283" customWidth="1"/>
    <col min="31" max="31" width="4.7109375" customWidth="1"/>
  </cols>
  <sheetData>
    <row r="1" spans="1:31" ht="14.25" customHeight="1" x14ac:dyDescent="0.2">
      <c r="B1" s="484"/>
      <c r="C1" s="484"/>
      <c r="D1" s="24"/>
      <c r="E1" s="22"/>
      <c r="F1" s="22"/>
      <c r="G1" s="22"/>
      <c r="H1" s="22"/>
      <c r="I1" s="22"/>
      <c r="J1" s="22"/>
      <c r="K1" s="22"/>
      <c r="L1" s="22"/>
      <c r="AE1" s="17" t="s">
        <v>87</v>
      </c>
    </row>
    <row r="2" spans="1:31" ht="30" customHeight="1" x14ac:dyDescent="0.2">
      <c r="B2" s="542" t="s">
        <v>141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</row>
    <row r="3" spans="1:31" ht="38.25" customHeight="1" x14ac:dyDescent="0.2">
      <c r="B3" s="514" t="s">
        <v>124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</row>
    <row r="4" spans="1:31" ht="12.75" customHeight="1" x14ac:dyDescent="0.2">
      <c r="B4" s="3"/>
      <c r="C4" s="33"/>
      <c r="D4" s="33"/>
      <c r="E4" s="133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41"/>
    </row>
    <row r="5" spans="1:31" ht="15" customHeight="1" x14ac:dyDescent="0.2">
      <c r="B5" s="131"/>
      <c r="C5" s="35">
        <v>1970</v>
      </c>
      <c r="D5" s="36">
        <v>1980</v>
      </c>
      <c r="E5" s="36">
        <v>1990</v>
      </c>
      <c r="F5" s="36">
        <v>1995</v>
      </c>
      <c r="G5" s="36">
        <v>1996</v>
      </c>
      <c r="H5" s="36">
        <v>1997</v>
      </c>
      <c r="I5" s="36">
        <v>1998</v>
      </c>
      <c r="J5" s="36">
        <v>1999</v>
      </c>
      <c r="K5" s="36">
        <v>2000</v>
      </c>
      <c r="L5" s="36">
        <v>2001</v>
      </c>
      <c r="M5" s="36">
        <v>2002</v>
      </c>
      <c r="N5" s="36">
        <v>2003</v>
      </c>
      <c r="O5" s="36">
        <v>2004</v>
      </c>
      <c r="P5" s="36">
        <v>2005</v>
      </c>
      <c r="Q5" s="36">
        <v>2006</v>
      </c>
      <c r="R5" s="36">
        <v>2007</v>
      </c>
      <c r="S5" s="36">
        <v>2008</v>
      </c>
      <c r="T5" s="36">
        <v>2009</v>
      </c>
      <c r="U5" s="36">
        <v>2010</v>
      </c>
      <c r="V5" s="36">
        <v>2011</v>
      </c>
      <c r="W5" s="36">
        <v>2012</v>
      </c>
      <c r="X5" s="36">
        <v>2013</v>
      </c>
      <c r="Y5" s="36">
        <v>2014</v>
      </c>
      <c r="Z5" s="36">
        <v>2015</v>
      </c>
      <c r="AA5" s="36">
        <v>2016</v>
      </c>
      <c r="AB5" s="36">
        <v>2017</v>
      </c>
      <c r="AC5" s="36">
        <v>2018</v>
      </c>
      <c r="AD5" s="413">
        <v>2019</v>
      </c>
      <c r="AE5" s="442"/>
    </row>
    <row r="6" spans="1:31" s="283" customFormat="1" ht="15" customHeight="1" x14ac:dyDescent="0.2">
      <c r="A6" s="311"/>
      <c r="B6" s="273" t="s">
        <v>106</v>
      </c>
      <c r="C6" s="279"/>
      <c r="D6" s="270"/>
      <c r="E6" s="270"/>
      <c r="F6" s="270">
        <f>F7-F35</f>
        <v>37458</v>
      </c>
      <c r="G6" s="270">
        <f t="shared" ref="G6:AC6" si="0">G7-G35</f>
        <v>37103</v>
      </c>
      <c r="H6" s="270">
        <f t="shared" si="0"/>
        <v>37311</v>
      </c>
      <c r="I6" s="270">
        <f t="shared" si="0"/>
        <v>38383.1</v>
      </c>
      <c r="J6" s="270">
        <f t="shared" si="0"/>
        <v>38297.1</v>
      </c>
      <c r="K6" s="270">
        <f t="shared" si="0"/>
        <v>39657.800000000003</v>
      </c>
      <c r="L6" s="270">
        <f t="shared" si="0"/>
        <v>39214.1</v>
      </c>
      <c r="M6" s="270">
        <f t="shared" si="0"/>
        <v>39212.1</v>
      </c>
      <c r="N6" s="274">
        <f t="shared" si="0"/>
        <v>39051.1</v>
      </c>
      <c r="O6" s="274">
        <f t="shared" si="0"/>
        <v>40180.1</v>
      </c>
      <c r="P6" s="274">
        <f t="shared" si="0"/>
        <v>40783.1</v>
      </c>
      <c r="Q6" s="274">
        <f t="shared" si="0"/>
        <v>40685.1</v>
      </c>
      <c r="R6" s="274">
        <f t="shared" si="0"/>
        <v>40636.1</v>
      </c>
      <c r="S6" s="274">
        <f t="shared" si="0"/>
        <v>40340.1</v>
      </c>
      <c r="T6" s="274">
        <f t="shared" si="0"/>
        <v>40316.1</v>
      </c>
      <c r="U6" s="274">
        <f t="shared" si="0"/>
        <v>40737.699999999997</v>
      </c>
      <c r="V6" s="274">
        <f t="shared" si="0"/>
        <v>40887.300000000003</v>
      </c>
      <c r="W6" s="274">
        <f t="shared" si="0"/>
        <v>40817.300000000003</v>
      </c>
      <c r="X6" s="274">
        <f t="shared" si="0"/>
        <v>41002.300000000003</v>
      </c>
      <c r="Y6" s="274">
        <f t="shared" si="0"/>
        <v>40683.599999999999</v>
      </c>
      <c r="Z6" s="274">
        <f t="shared" si="0"/>
        <v>40884.699999999997</v>
      </c>
      <c r="AA6" s="274">
        <f t="shared" si="0"/>
        <v>40844.9</v>
      </c>
      <c r="AB6" s="274">
        <f t="shared" si="0"/>
        <v>41173.800000000003</v>
      </c>
      <c r="AC6" s="274">
        <f t="shared" si="0"/>
        <v>41252.800000000003</v>
      </c>
      <c r="AD6" s="274">
        <f>SUM(AD8:AD34)</f>
        <v>41941.100000000006</v>
      </c>
      <c r="AE6" s="37" t="s">
        <v>106</v>
      </c>
    </row>
    <row r="7" spans="1:31" ht="12.75" customHeight="1" x14ac:dyDescent="0.2">
      <c r="A7" s="311"/>
      <c r="B7" s="273" t="s">
        <v>94</v>
      </c>
      <c r="C7" s="279"/>
      <c r="D7" s="270"/>
      <c r="E7" s="270"/>
      <c r="F7" s="270">
        <f t="shared" ref="F7:O7" si="1">SUM(F8:F35)</f>
        <v>38611</v>
      </c>
      <c r="G7" s="274">
        <f t="shared" si="1"/>
        <v>38256</v>
      </c>
      <c r="H7" s="274">
        <f t="shared" si="1"/>
        <v>38464</v>
      </c>
      <c r="I7" s="274">
        <f t="shared" si="1"/>
        <v>39536.1</v>
      </c>
      <c r="J7" s="274">
        <f t="shared" si="1"/>
        <v>39450.1</v>
      </c>
      <c r="K7" s="274">
        <f t="shared" si="1"/>
        <v>40810.800000000003</v>
      </c>
      <c r="L7" s="274">
        <f t="shared" si="1"/>
        <v>40367.1</v>
      </c>
      <c r="M7" s="274">
        <f t="shared" si="1"/>
        <v>40277.1</v>
      </c>
      <c r="N7" s="274">
        <f t="shared" si="1"/>
        <v>40116.1</v>
      </c>
      <c r="O7" s="274">
        <f t="shared" si="1"/>
        <v>41245.1</v>
      </c>
      <c r="P7" s="270">
        <f t="shared" ref="P7:V7" si="2">SUM(P8:P35)</f>
        <v>41848.1</v>
      </c>
      <c r="Q7" s="270">
        <f t="shared" si="2"/>
        <v>41750.1</v>
      </c>
      <c r="R7" s="270">
        <f t="shared" si="2"/>
        <v>41686.1</v>
      </c>
      <c r="S7" s="270">
        <f t="shared" si="2"/>
        <v>41390.1</v>
      </c>
      <c r="T7" s="274">
        <f t="shared" si="2"/>
        <v>41366.1</v>
      </c>
      <c r="U7" s="274">
        <f t="shared" si="2"/>
        <v>41787.699999999997</v>
      </c>
      <c r="V7" s="274">
        <f t="shared" si="2"/>
        <v>41937.300000000003</v>
      </c>
      <c r="W7" s="274">
        <f t="shared" ref="W7" si="3">SUM(W8:W35)</f>
        <v>41867.300000000003</v>
      </c>
      <c r="X7" s="274">
        <f t="shared" ref="X7" si="4">SUM(X8:X35)</f>
        <v>42052.3</v>
      </c>
      <c r="Y7" s="274">
        <f t="shared" ref="Y7:Z7" si="5">SUM(Y8:Y35)</f>
        <v>41733.599999999999</v>
      </c>
      <c r="Z7" s="274">
        <f t="shared" si="5"/>
        <v>41934.699999999997</v>
      </c>
      <c r="AA7" s="274">
        <f t="shared" ref="AA7" si="6">SUM(AA8:AA35)</f>
        <v>41894.9</v>
      </c>
      <c r="AB7" s="274">
        <f>SUM(AB8:AB35)</f>
        <v>42223.8</v>
      </c>
      <c r="AC7" s="274">
        <f>SUM(AC8:AC35)</f>
        <v>42302.8</v>
      </c>
      <c r="AD7" s="274">
        <f>SUM(AD8:AD35)</f>
        <v>42991.100000000006</v>
      </c>
      <c r="AE7" s="37" t="s">
        <v>94</v>
      </c>
    </row>
    <row r="8" spans="1:31" ht="12.75" customHeight="1" x14ac:dyDescent="0.2">
      <c r="A8" s="328"/>
      <c r="B8" s="8" t="s">
        <v>37</v>
      </c>
      <c r="C8" s="203">
        <v>1553</v>
      </c>
      <c r="D8" s="204">
        <v>1510</v>
      </c>
      <c r="E8" s="204">
        <v>1515</v>
      </c>
      <c r="F8" s="204">
        <v>1540</v>
      </c>
      <c r="G8" s="161">
        <v>1540</v>
      </c>
      <c r="H8" s="161">
        <v>1540</v>
      </c>
      <c r="I8" s="204">
        <v>1534</v>
      </c>
      <c r="J8" s="204">
        <v>1534</v>
      </c>
      <c r="K8" s="204">
        <v>1534</v>
      </c>
      <c r="L8" s="204">
        <v>1527</v>
      </c>
      <c r="M8" s="204">
        <v>1527</v>
      </c>
      <c r="N8" s="204">
        <v>1516</v>
      </c>
      <c r="O8" s="204">
        <v>1516</v>
      </c>
      <c r="P8" s="204">
        <v>1516</v>
      </c>
      <c r="Q8" s="204">
        <v>1516</v>
      </c>
      <c r="R8" s="204">
        <v>1516</v>
      </c>
      <c r="S8" s="204">
        <v>1516</v>
      </c>
      <c r="T8" s="161">
        <v>1516</v>
      </c>
      <c r="U8" s="161">
        <v>1516</v>
      </c>
      <c r="V8" s="161">
        <v>1516</v>
      </c>
      <c r="W8" s="161">
        <v>1516</v>
      </c>
      <c r="X8" s="161">
        <v>1516</v>
      </c>
      <c r="Y8" s="161">
        <v>1516</v>
      </c>
      <c r="Z8" s="161">
        <v>1516</v>
      </c>
      <c r="AA8" s="161">
        <v>1516</v>
      </c>
      <c r="AB8" s="161">
        <v>1516</v>
      </c>
      <c r="AC8" s="161">
        <v>1516</v>
      </c>
      <c r="AD8" s="161">
        <v>1516</v>
      </c>
      <c r="AE8" s="8" t="s">
        <v>37</v>
      </c>
    </row>
    <row r="9" spans="1:31" ht="12.75" customHeight="1" x14ac:dyDescent="0.2">
      <c r="A9" s="2"/>
      <c r="B9" s="38" t="s">
        <v>20</v>
      </c>
      <c r="C9" s="201"/>
      <c r="D9" s="159"/>
      <c r="E9" s="159">
        <v>470</v>
      </c>
      <c r="F9" s="159">
        <v>470</v>
      </c>
      <c r="G9" s="159">
        <v>470</v>
      </c>
      <c r="H9" s="159">
        <v>470</v>
      </c>
      <c r="I9" s="159">
        <v>470</v>
      </c>
      <c r="J9" s="159">
        <v>470</v>
      </c>
      <c r="K9" s="159">
        <v>470</v>
      </c>
      <c r="L9" s="159">
        <v>470</v>
      </c>
      <c r="M9" s="159">
        <v>470</v>
      </c>
      <c r="N9" s="159">
        <v>470</v>
      </c>
      <c r="O9" s="159">
        <v>470</v>
      </c>
      <c r="P9" s="159">
        <v>470</v>
      </c>
      <c r="Q9" s="159">
        <v>470</v>
      </c>
      <c r="R9" s="159">
        <v>470</v>
      </c>
      <c r="S9" s="159">
        <v>470</v>
      </c>
      <c r="T9" s="159">
        <v>470</v>
      </c>
      <c r="U9" s="159">
        <v>470</v>
      </c>
      <c r="V9" s="159">
        <v>470</v>
      </c>
      <c r="W9" s="159">
        <v>470</v>
      </c>
      <c r="X9" s="159">
        <v>470</v>
      </c>
      <c r="Y9" s="159">
        <v>470</v>
      </c>
      <c r="Z9" s="159">
        <v>470</v>
      </c>
      <c r="AA9" s="291">
        <v>470</v>
      </c>
      <c r="AB9" s="291">
        <v>470</v>
      </c>
      <c r="AC9" s="291">
        <v>470</v>
      </c>
      <c r="AD9" s="291">
        <v>470</v>
      </c>
      <c r="AE9" s="38" t="s">
        <v>20</v>
      </c>
    </row>
    <row r="10" spans="1:31" ht="12.75" customHeight="1" x14ac:dyDescent="0.2">
      <c r="A10" s="7"/>
      <c r="B10" s="9" t="s">
        <v>22</v>
      </c>
      <c r="C10" s="206"/>
      <c r="D10" s="221"/>
      <c r="E10" s="221"/>
      <c r="F10" s="204">
        <v>677</v>
      </c>
      <c r="G10" s="204">
        <v>677</v>
      </c>
      <c r="H10" s="204">
        <v>677</v>
      </c>
      <c r="I10" s="204">
        <v>664</v>
      </c>
      <c r="J10" s="204">
        <v>664</v>
      </c>
      <c r="K10" s="204">
        <v>664</v>
      </c>
      <c r="L10" s="204">
        <v>664</v>
      </c>
      <c r="M10" s="204">
        <v>664</v>
      </c>
      <c r="N10" s="204">
        <v>664</v>
      </c>
      <c r="O10" s="204">
        <v>664</v>
      </c>
      <c r="P10" s="204">
        <v>664</v>
      </c>
      <c r="Q10" s="204">
        <v>664</v>
      </c>
      <c r="R10" s="204">
        <v>664</v>
      </c>
      <c r="S10" s="204">
        <v>664</v>
      </c>
      <c r="T10" s="204">
        <v>676</v>
      </c>
      <c r="U10" s="204">
        <v>676</v>
      </c>
      <c r="V10" s="204">
        <v>676</v>
      </c>
      <c r="W10" s="204">
        <v>676</v>
      </c>
      <c r="X10" s="204">
        <v>686.8</v>
      </c>
      <c r="Y10" s="204">
        <v>687</v>
      </c>
      <c r="Z10" s="204">
        <v>720</v>
      </c>
      <c r="AA10" s="289">
        <v>720.2</v>
      </c>
      <c r="AB10" s="289">
        <v>720.2</v>
      </c>
      <c r="AC10" s="289">
        <v>720.2</v>
      </c>
      <c r="AD10" s="289">
        <v>720.2</v>
      </c>
      <c r="AE10" s="9" t="s">
        <v>22</v>
      </c>
    </row>
    <row r="11" spans="1:31" ht="12.75" customHeight="1" x14ac:dyDescent="0.2">
      <c r="A11" s="7"/>
      <c r="B11" s="38" t="s">
        <v>33</v>
      </c>
      <c r="C11" s="201" t="s">
        <v>50</v>
      </c>
      <c r="D11" s="159" t="s">
        <v>50</v>
      </c>
      <c r="E11" s="159" t="s">
        <v>50</v>
      </c>
      <c r="F11" s="159" t="s">
        <v>50</v>
      </c>
      <c r="G11" s="159" t="s">
        <v>50</v>
      </c>
      <c r="H11" s="159" t="s">
        <v>50</v>
      </c>
      <c r="I11" s="159" t="s">
        <v>50</v>
      </c>
      <c r="J11" s="159" t="s">
        <v>50</v>
      </c>
      <c r="K11" s="159" t="s">
        <v>50</v>
      </c>
      <c r="L11" s="159" t="s">
        <v>50</v>
      </c>
      <c r="M11" s="159" t="s">
        <v>50</v>
      </c>
      <c r="N11" s="159" t="s">
        <v>50</v>
      </c>
      <c r="O11" s="159" t="s">
        <v>50</v>
      </c>
      <c r="P11" s="159" t="s">
        <v>50</v>
      </c>
      <c r="Q11" s="159" t="s">
        <v>50</v>
      </c>
      <c r="R11" s="159" t="s">
        <v>50</v>
      </c>
      <c r="S11" s="159" t="s">
        <v>50</v>
      </c>
      <c r="T11" s="159" t="s">
        <v>50</v>
      </c>
      <c r="U11" s="159" t="s">
        <v>50</v>
      </c>
      <c r="V11" s="159" t="s">
        <v>50</v>
      </c>
      <c r="W11" s="159" t="s">
        <v>50</v>
      </c>
      <c r="X11" s="159" t="s">
        <v>50</v>
      </c>
      <c r="Y11" s="159" t="s">
        <v>50</v>
      </c>
      <c r="Z11" s="159" t="s">
        <v>50</v>
      </c>
      <c r="AA11" s="291" t="s">
        <v>50</v>
      </c>
      <c r="AB11" s="291" t="s">
        <v>50</v>
      </c>
      <c r="AC11" s="291" t="s">
        <v>50</v>
      </c>
      <c r="AD11" s="291" t="s">
        <v>50</v>
      </c>
      <c r="AE11" s="38" t="s">
        <v>33</v>
      </c>
    </row>
    <row r="12" spans="1:31" ht="12.75" customHeight="1" x14ac:dyDescent="0.2">
      <c r="A12" s="7"/>
      <c r="B12" s="9" t="s">
        <v>38</v>
      </c>
      <c r="C12" s="203">
        <v>6808</v>
      </c>
      <c r="D12" s="204">
        <v>6697</v>
      </c>
      <c r="E12" s="242">
        <v>4350</v>
      </c>
      <c r="F12" s="204">
        <v>6663</v>
      </c>
      <c r="G12" s="204">
        <v>6760</v>
      </c>
      <c r="H12" s="204">
        <v>6673</v>
      </c>
      <c r="I12" s="204">
        <v>6740</v>
      </c>
      <c r="J12" s="204">
        <v>6754</v>
      </c>
      <c r="K12" s="204">
        <v>6754</v>
      </c>
      <c r="L12" s="204">
        <v>6687</v>
      </c>
      <c r="M12" s="204">
        <v>6642</v>
      </c>
      <c r="N12" s="204">
        <v>6636</v>
      </c>
      <c r="O12" s="204">
        <v>7565</v>
      </c>
      <c r="P12" s="204">
        <v>7565</v>
      </c>
      <c r="Q12" s="204">
        <v>7565</v>
      </c>
      <c r="R12" s="204">
        <v>7565</v>
      </c>
      <c r="S12" s="204">
        <v>7565</v>
      </c>
      <c r="T12" s="204">
        <v>7565</v>
      </c>
      <c r="U12" s="204">
        <v>7728</v>
      </c>
      <c r="V12" s="204">
        <v>7728</v>
      </c>
      <c r="W12" s="204">
        <v>7675</v>
      </c>
      <c r="X12" s="204">
        <v>7675</v>
      </c>
      <c r="Y12" s="204">
        <v>7675</v>
      </c>
      <c r="Z12" s="204">
        <v>7675</v>
      </c>
      <c r="AA12" s="289">
        <v>7675</v>
      </c>
      <c r="AB12" s="289">
        <v>7675</v>
      </c>
      <c r="AC12" s="289">
        <v>7675</v>
      </c>
      <c r="AD12" s="289">
        <v>7675</v>
      </c>
      <c r="AE12" s="9" t="s">
        <v>38</v>
      </c>
    </row>
    <row r="13" spans="1:31" ht="12.75" customHeight="1" x14ac:dyDescent="0.2">
      <c r="A13" s="7"/>
      <c r="B13" s="38" t="s">
        <v>23</v>
      </c>
      <c r="C13" s="201"/>
      <c r="D13" s="159"/>
      <c r="E13" s="159"/>
      <c r="F13" s="159">
        <v>520</v>
      </c>
      <c r="G13" s="159">
        <v>520</v>
      </c>
      <c r="H13" s="159">
        <v>320</v>
      </c>
      <c r="I13" s="159">
        <v>320</v>
      </c>
      <c r="J13" s="159">
        <v>320</v>
      </c>
      <c r="K13" s="159">
        <v>320</v>
      </c>
      <c r="L13" s="159">
        <v>320</v>
      </c>
      <c r="M13" s="159">
        <v>320</v>
      </c>
      <c r="N13" s="159">
        <v>320</v>
      </c>
      <c r="O13" s="159">
        <v>320</v>
      </c>
      <c r="P13" s="159">
        <v>320</v>
      </c>
      <c r="Q13" s="159">
        <v>320</v>
      </c>
      <c r="R13" s="159">
        <v>320</v>
      </c>
      <c r="S13" s="159">
        <v>335</v>
      </c>
      <c r="T13" s="159">
        <v>335</v>
      </c>
      <c r="U13" s="159">
        <v>335</v>
      </c>
      <c r="V13" s="159">
        <v>335</v>
      </c>
      <c r="W13" s="159">
        <v>335</v>
      </c>
      <c r="X13" s="159">
        <v>399</v>
      </c>
      <c r="Y13" s="159">
        <v>416</v>
      </c>
      <c r="Z13" s="159">
        <v>416</v>
      </c>
      <c r="AA13" s="291">
        <v>416</v>
      </c>
      <c r="AB13" s="159">
        <v>416</v>
      </c>
      <c r="AC13" s="291">
        <v>449</v>
      </c>
      <c r="AD13" s="291">
        <v>449</v>
      </c>
      <c r="AE13" s="38" t="s">
        <v>23</v>
      </c>
    </row>
    <row r="14" spans="1:31" ht="12.75" customHeight="1" x14ac:dyDescent="0.2">
      <c r="A14" s="7"/>
      <c r="B14" s="9" t="s">
        <v>41</v>
      </c>
      <c r="C14" s="203" t="s">
        <v>50</v>
      </c>
      <c r="D14" s="204" t="s">
        <v>50</v>
      </c>
      <c r="E14" s="204" t="s">
        <v>50</v>
      </c>
      <c r="F14" s="204" t="s">
        <v>50</v>
      </c>
      <c r="G14" s="204" t="s">
        <v>50</v>
      </c>
      <c r="H14" s="204" t="s">
        <v>50</v>
      </c>
      <c r="I14" s="204" t="s">
        <v>50</v>
      </c>
      <c r="J14" s="204" t="s">
        <v>50</v>
      </c>
      <c r="K14" s="204" t="s">
        <v>50</v>
      </c>
      <c r="L14" s="204" t="s">
        <v>50</v>
      </c>
      <c r="M14" s="204" t="s">
        <v>50</v>
      </c>
      <c r="N14" s="204" t="s">
        <v>50</v>
      </c>
      <c r="O14" s="204" t="s">
        <v>50</v>
      </c>
      <c r="P14" s="204" t="s">
        <v>50</v>
      </c>
      <c r="Q14" s="204" t="s">
        <v>50</v>
      </c>
      <c r="R14" s="204" t="s">
        <v>50</v>
      </c>
      <c r="S14" s="204" t="s">
        <v>50</v>
      </c>
      <c r="T14" s="204" t="s">
        <v>50</v>
      </c>
      <c r="U14" s="204" t="s">
        <v>50</v>
      </c>
      <c r="V14" s="204" t="s">
        <v>50</v>
      </c>
      <c r="W14" s="204" t="s">
        <v>50</v>
      </c>
      <c r="X14" s="204" t="s">
        <v>50</v>
      </c>
      <c r="Y14" s="204" t="s">
        <v>50</v>
      </c>
      <c r="Z14" s="204" t="s">
        <v>50</v>
      </c>
      <c r="AA14" s="289" t="s">
        <v>50</v>
      </c>
      <c r="AB14" s="289" t="s">
        <v>50</v>
      </c>
      <c r="AC14" s="289" t="s">
        <v>50</v>
      </c>
      <c r="AD14" s="289" t="s">
        <v>50</v>
      </c>
      <c r="AE14" s="9" t="s">
        <v>41</v>
      </c>
    </row>
    <row r="15" spans="1:31" ht="12.75" customHeight="1" x14ac:dyDescent="0.2">
      <c r="A15" s="7"/>
      <c r="B15" s="38" t="s">
        <v>34</v>
      </c>
      <c r="C15" s="159" t="s">
        <v>50</v>
      </c>
      <c r="D15" s="159" t="s">
        <v>50</v>
      </c>
      <c r="E15" s="159" t="s">
        <v>50</v>
      </c>
      <c r="F15" s="159" t="s">
        <v>50</v>
      </c>
      <c r="G15" s="159" t="s">
        <v>50</v>
      </c>
      <c r="H15" s="159" t="s">
        <v>50</v>
      </c>
      <c r="I15" s="159" t="s">
        <v>50</v>
      </c>
      <c r="J15" s="159" t="s">
        <v>50</v>
      </c>
      <c r="K15" s="159" t="s">
        <v>50</v>
      </c>
      <c r="L15" s="159" t="s">
        <v>50</v>
      </c>
      <c r="M15" s="159" t="s">
        <v>50</v>
      </c>
      <c r="N15" s="159" t="s">
        <v>50</v>
      </c>
      <c r="O15" s="159" t="s">
        <v>50</v>
      </c>
      <c r="P15" s="159" t="s">
        <v>50</v>
      </c>
      <c r="Q15" s="159" t="s">
        <v>50</v>
      </c>
      <c r="R15" s="159" t="s">
        <v>50</v>
      </c>
      <c r="S15" s="159" t="s">
        <v>50</v>
      </c>
      <c r="T15" s="159" t="s">
        <v>50</v>
      </c>
      <c r="U15" s="159" t="s">
        <v>50</v>
      </c>
      <c r="V15" s="159" t="s">
        <v>50</v>
      </c>
      <c r="W15" s="159" t="s">
        <v>50</v>
      </c>
      <c r="X15" s="159" t="s">
        <v>50</v>
      </c>
      <c r="Y15" s="159" t="s">
        <v>50</v>
      </c>
      <c r="Z15" s="159" t="s">
        <v>50</v>
      </c>
      <c r="AA15" s="291" t="s">
        <v>50</v>
      </c>
      <c r="AB15" s="291" t="s">
        <v>50</v>
      </c>
      <c r="AC15" s="291" t="s">
        <v>50</v>
      </c>
      <c r="AD15" s="291" t="s">
        <v>50</v>
      </c>
      <c r="AE15" s="38" t="s">
        <v>34</v>
      </c>
    </row>
    <row r="16" spans="1:31" ht="12.75" customHeight="1" x14ac:dyDescent="0.2">
      <c r="A16" s="7"/>
      <c r="B16" s="9" t="s">
        <v>39</v>
      </c>
      <c r="C16" s="203"/>
      <c r="D16" s="204"/>
      <c r="E16" s="204" t="s">
        <v>50</v>
      </c>
      <c r="F16" s="204" t="s">
        <v>50</v>
      </c>
      <c r="G16" s="204" t="s">
        <v>50</v>
      </c>
      <c r="H16" s="204" t="s">
        <v>50</v>
      </c>
      <c r="I16" s="204" t="s">
        <v>50</v>
      </c>
      <c r="J16" s="204" t="s">
        <v>50</v>
      </c>
      <c r="K16" s="204" t="s">
        <v>50</v>
      </c>
      <c r="L16" s="204" t="s">
        <v>50</v>
      </c>
      <c r="M16" s="204" t="s">
        <v>50</v>
      </c>
      <c r="N16" s="204" t="s">
        <v>50</v>
      </c>
      <c r="O16" s="204" t="s">
        <v>50</v>
      </c>
      <c r="P16" s="204" t="s">
        <v>50</v>
      </c>
      <c r="Q16" s="204" t="s">
        <v>50</v>
      </c>
      <c r="R16" s="204" t="s">
        <v>50</v>
      </c>
      <c r="S16" s="204" t="s">
        <v>50</v>
      </c>
      <c r="T16" s="204" t="s">
        <v>50</v>
      </c>
      <c r="U16" s="204" t="s">
        <v>50</v>
      </c>
      <c r="V16" s="204" t="s">
        <v>50</v>
      </c>
      <c r="W16" s="204" t="s">
        <v>50</v>
      </c>
      <c r="X16" s="204" t="s">
        <v>50</v>
      </c>
      <c r="Y16" s="204" t="s">
        <v>50</v>
      </c>
      <c r="Z16" s="204" t="s">
        <v>50</v>
      </c>
      <c r="AA16" s="289" t="s">
        <v>50</v>
      </c>
      <c r="AB16" s="289" t="s">
        <v>50</v>
      </c>
      <c r="AC16" s="289" t="s">
        <v>50</v>
      </c>
      <c r="AD16" s="289" t="s">
        <v>50</v>
      </c>
      <c r="AE16" s="9" t="s">
        <v>39</v>
      </c>
    </row>
    <row r="17" spans="1:32" ht="12.75" customHeight="1" x14ac:dyDescent="0.2">
      <c r="A17" s="7"/>
      <c r="B17" s="38" t="s">
        <v>40</v>
      </c>
      <c r="C17" s="201">
        <v>7433</v>
      </c>
      <c r="D17" s="159">
        <v>6568</v>
      </c>
      <c r="E17" s="159">
        <v>6197</v>
      </c>
      <c r="F17" s="159">
        <v>5962</v>
      </c>
      <c r="G17" s="159">
        <v>5678</v>
      </c>
      <c r="H17" s="159">
        <v>6051</v>
      </c>
      <c r="I17" s="159">
        <v>5732</v>
      </c>
      <c r="J17" s="159">
        <v>5576</v>
      </c>
      <c r="K17" s="159">
        <v>5789</v>
      </c>
      <c r="L17" s="159">
        <v>5378</v>
      </c>
      <c r="M17" s="159">
        <v>5637</v>
      </c>
      <c r="N17" s="159">
        <v>5384</v>
      </c>
      <c r="O17" s="159">
        <v>5372</v>
      </c>
      <c r="P17" s="159">
        <v>5788</v>
      </c>
      <c r="Q17" s="159">
        <v>5497</v>
      </c>
      <c r="R17" s="159">
        <v>5444</v>
      </c>
      <c r="S17" s="159">
        <v>5200</v>
      </c>
      <c r="T17" s="159">
        <v>5132</v>
      </c>
      <c r="U17" s="159">
        <v>5110</v>
      </c>
      <c r="V17" s="159">
        <v>5019</v>
      </c>
      <c r="W17" s="159">
        <v>4996</v>
      </c>
      <c r="X17" s="159">
        <v>5064</v>
      </c>
      <c r="Y17" s="159">
        <v>4718</v>
      </c>
      <c r="Z17" s="159">
        <v>4822</v>
      </c>
      <c r="AA17" s="291">
        <v>4733</v>
      </c>
      <c r="AB17" s="159">
        <v>5060</v>
      </c>
      <c r="AC17" s="291">
        <v>5065</v>
      </c>
      <c r="AD17" s="291">
        <v>4827</v>
      </c>
      <c r="AE17" s="38" t="s">
        <v>40</v>
      </c>
    </row>
    <row r="18" spans="1:32" ht="12.75" customHeight="1" x14ac:dyDescent="0.2">
      <c r="A18" s="7"/>
      <c r="B18" s="9" t="s">
        <v>51</v>
      </c>
      <c r="C18" s="203"/>
      <c r="D18" s="204"/>
      <c r="E18" s="204">
        <v>933</v>
      </c>
      <c r="F18" s="204">
        <v>933</v>
      </c>
      <c r="G18" s="204">
        <v>933</v>
      </c>
      <c r="H18" s="204">
        <v>933</v>
      </c>
      <c r="I18" s="204">
        <v>720.1</v>
      </c>
      <c r="J18" s="204">
        <v>720.1</v>
      </c>
      <c r="K18" s="204">
        <v>720.1</v>
      </c>
      <c r="L18" s="204">
        <v>720.1</v>
      </c>
      <c r="M18" s="204">
        <v>720.1</v>
      </c>
      <c r="N18" s="204">
        <v>720.1</v>
      </c>
      <c r="O18" s="204">
        <v>804.1</v>
      </c>
      <c r="P18" s="204">
        <v>804.1</v>
      </c>
      <c r="Q18" s="204">
        <v>804.1</v>
      </c>
      <c r="R18" s="204">
        <v>804.1</v>
      </c>
      <c r="S18" s="204">
        <v>804.1</v>
      </c>
      <c r="T18" s="204">
        <v>804.1</v>
      </c>
      <c r="U18" s="204">
        <v>805.2</v>
      </c>
      <c r="V18" s="204">
        <v>1016.8</v>
      </c>
      <c r="W18" s="204">
        <v>1016.8</v>
      </c>
      <c r="X18" s="204">
        <v>1016.9</v>
      </c>
      <c r="Y18" s="204">
        <v>1016.9</v>
      </c>
      <c r="Z18" s="204">
        <v>1016.9</v>
      </c>
      <c r="AA18" s="289">
        <v>1016.9</v>
      </c>
      <c r="AB18" s="204">
        <v>1016.9</v>
      </c>
      <c r="AC18" s="289">
        <v>1016.9</v>
      </c>
      <c r="AD18" s="289">
        <v>1016.9</v>
      </c>
      <c r="AE18" s="9" t="s">
        <v>51</v>
      </c>
    </row>
    <row r="19" spans="1:32" ht="12.75" customHeight="1" x14ac:dyDescent="0.2">
      <c r="A19" s="7"/>
      <c r="B19" s="155" t="s">
        <v>42</v>
      </c>
      <c r="C19" s="205">
        <v>2337</v>
      </c>
      <c r="D19" s="162">
        <v>2337</v>
      </c>
      <c r="E19" s="162">
        <v>1366</v>
      </c>
      <c r="F19" s="162">
        <v>1466</v>
      </c>
      <c r="G19" s="162">
        <v>1466</v>
      </c>
      <c r="H19" s="162">
        <v>1463</v>
      </c>
      <c r="I19" s="162">
        <v>1477</v>
      </c>
      <c r="J19" s="162">
        <v>1477</v>
      </c>
      <c r="K19" s="162">
        <v>1477</v>
      </c>
      <c r="L19" s="162">
        <v>1477</v>
      </c>
      <c r="M19" s="162">
        <v>1477</v>
      </c>
      <c r="N19" s="162">
        <v>1562</v>
      </c>
      <c r="O19" s="162">
        <v>1562</v>
      </c>
      <c r="P19" s="162">
        <v>1562</v>
      </c>
      <c r="Q19" s="162">
        <v>1562</v>
      </c>
      <c r="R19" s="162">
        <v>1562</v>
      </c>
      <c r="S19" s="162">
        <v>1562</v>
      </c>
      <c r="T19" s="162">
        <v>1562</v>
      </c>
      <c r="U19" s="162">
        <v>1562</v>
      </c>
      <c r="V19" s="162">
        <v>1562</v>
      </c>
      <c r="W19" s="162">
        <v>1562</v>
      </c>
      <c r="X19" s="162">
        <v>1562</v>
      </c>
      <c r="Y19" s="162">
        <v>1562</v>
      </c>
      <c r="Z19" s="162">
        <v>1562</v>
      </c>
      <c r="AA19" s="295">
        <v>1562</v>
      </c>
      <c r="AB19" s="295">
        <v>1562</v>
      </c>
      <c r="AC19" s="327">
        <v>1562</v>
      </c>
      <c r="AD19" s="327">
        <v>1562</v>
      </c>
      <c r="AE19" s="155" t="s">
        <v>42</v>
      </c>
    </row>
    <row r="20" spans="1:32" ht="12.75" customHeight="1" x14ac:dyDescent="0.2">
      <c r="A20" s="7"/>
      <c r="B20" s="9" t="s">
        <v>21</v>
      </c>
      <c r="C20" s="203" t="s">
        <v>50</v>
      </c>
      <c r="D20" s="204" t="s">
        <v>50</v>
      </c>
      <c r="E20" s="204" t="s">
        <v>50</v>
      </c>
      <c r="F20" s="204" t="s">
        <v>50</v>
      </c>
      <c r="G20" s="204" t="s">
        <v>50</v>
      </c>
      <c r="H20" s="204" t="s">
        <v>50</v>
      </c>
      <c r="I20" s="204" t="s">
        <v>50</v>
      </c>
      <c r="J20" s="204" t="s">
        <v>50</v>
      </c>
      <c r="K20" s="204" t="s">
        <v>50</v>
      </c>
      <c r="L20" s="204" t="s">
        <v>50</v>
      </c>
      <c r="M20" s="204" t="s">
        <v>50</v>
      </c>
      <c r="N20" s="204" t="s">
        <v>50</v>
      </c>
      <c r="O20" s="204" t="s">
        <v>50</v>
      </c>
      <c r="P20" s="204" t="s">
        <v>50</v>
      </c>
      <c r="Q20" s="204" t="s">
        <v>50</v>
      </c>
      <c r="R20" s="204" t="s">
        <v>50</v>
      </c>
      <c r="S20" s="204" t="s">
        <v>50</v>
      </c>
      <c r="T20" s="204" t="s">
        <v>50</v>
      </c>
      <c r="U20" s="204" t="s">
        <v>50</v>
      </c>
      <c r="V20" s="204" t="s">
        <v>50</v>
      </c>
      <c r="W20" s="204" t="s">
        <v>50</v>
      </c>
      <c r="X20" s="204" t="s">
        <v>50</v>
      </c>
      <c r="Y20" s="204" t="s">
        <v>50</v>
      </c>
      <c r="Z20" s="204" t="s">
        <v>50</v>
      </c>
      <c r="AA20" s="289" t="s">
        <v>50</v>
      </c>
      <c r="AB20" s="289" t="s">
        <v>50</v>
      </c>
      <c r="AC20" s="289" t="s">
        <v>50</v>
      </c>
      <c r="AD20" s="289" t="s">
        <v>50</v>
      </c>
      <c r="AE20" s="9" t="s">
        <v>21</v>
      </c>
    </row>
    <row r="21" spans="1:32" ht="12.75" customHeight="1" x14ac:dyDescent="0.2">
      <c r="A21" s="7"/>
      <c r="B21" s="155" t="s">
        <v>25</v>
      </c>
      <c r="C21" s="205"/>
      <c r="D21" s="162"/>
      <c r="E21" s="162" t="s">
        <v>50</v>
      </c>
      <c r="F21" s="162" t="s">
        <v>50</v>
      </c>
      <c r="G21" s="162" t="s">
        <v>50</v>
      </c>
      <c r="H21" s="162" t="s">
        <v>50</v>
      </c>
      <c r="I21" s="162" t="s">
        <v>50</v>
      </c>
      <c r="J21" s="162" t="s">
        <v>50</v>
      </c>
      <c r="K21" s="162" t="s">
        <v>50</v>
      </c>
      <c r="L21" s="162" t="s">
        <v>50</v>
      </c>
      <c r="M21" s="162" t="s">
        <v>50</v>
      </c>
      <c r="N21" s="162" t="s">
        <v>50</v>
      </c>
      <c r="O21" s="162" t="s">
        <v>50</v>
      </c>
      <c r="P21" s="162" t="s">
        <v>50</v>
      </c>
      <c r="Q21" s="162" t="s">
        <v>50</v>
      </c>
      <c r="R21" s="162" t="s">
        <v>50</v>
      </c>
      <c r="S21" s="162" t="s">
        <v>50</v>
      </c>
      <c r="T21" s="162" t="s">
        <v>50</v>
      </c>
      <c r="U21" s="162" t="s">
        <v>50</v>
      </c>
      <c r="V21" s="162" t="s">
        <v>50</v>
      </c>
      <c r="W21" s="162" t="s">
        <v>50</v>
      </c>
      <c r="X21" s="162" t="s">
        <v>50</v>
      </c>
      <c r="Y21" s="162" t="s">
        <v>50</v>
      </c>
      <c r="Z21" s="162" t="s">
        <v>50</v>
      </c>
      <c r="AA21" s="295" t="s">
        <v>50</v>
      </c>
      <c r="AB21" s="291" t="s">
        <v>50</v>
      </c>
      <c r="AC21" s="291" t="s">
        <v>50</v>
      </c>
      <c r="AD21" s="291" t="s">
        <v>50</v>
      </c>
      <c r="AE21" s="155" t="s">
        <v>25</v>
      </c>
    </row>
    <row r="22" spans="1:32" ht="12.75" customHeight="1" x14ac:dyDescent="0.2">
      <c r="A22" s="7"/>
      <c r="B22" s="9" t="s">
        <v>26</v>
      </c>
      <c r="C22" s="203"/>
      <c r="D22" s="204"/>
      <c r="E22" s="204">
        <v>369</v>
      </c>
      <c r="F22" s="204">
        <v>369</v>
      </c>
      <c r="G22" s="204">
        <v>369</v>
      </c>
      <c r="H22" s="204">
        <v>369</v>
      </c>
      <c r="I22" s="204">
        <v>369</v>
      </c>
      <c r="J22" s="204">
        <v>369</v>
      </c>
      <c r="K22" s="204">
        <v>379.7</v>
      </c>
      <c r="L22" s="204">
        <v>281</v>
      </c>
      <c r="M22" s="204">
        <v>281</v>
      </c>
      <c r="N22" s="204">
        <v>290</v>
      </c>
      <c r="O22" s="204">
        <v>290</v>
      </c>
      <c r="P22" s="204">
        <v>290</v>
      </c>
      <c r="Q22" s="204">
        <v>441</v>
      </c>
      <c r="R22" s="204">
        <v>441</v>
      </c>
      <c r="S22" s="204">
        <v>441</v>
      </c>
      <c r="T22" s="204">
        <v>448</v>
      </c>
      <c r="U22" s="204">
        <v>448</v>
      </c>
      <c r="V22" s="204">
        <v>452</v>
      </c>
      <c r="W22" s="204">
        <v>452</v>
      </c>
      <c r="X22" s="204">
        <v>452</v>
      </c>
      <c r="Y22" s="204">
        <v>452</v>
      </c>
      <c r="Z22" s="204">
        <v>446</v>
      </c>
      <c r="AA22" s="289">
        <v>485</v>
      </c>
      <c r="AB22" s="204">
        <v>488</v>
      </c>
      <c r="AC22" s="289">
        <v>493</v>
      </c>
      <c r="AD22" s="289">
        <v>506</v>
      </c>
      <c r="AE22" s="9" t="s">
        <v>26</v>
      </c>
    </row>
    <row r="23" spans="1:32" ht="12.75" customHeight="1" x14ac:dyDescent="0.2">
      <c r="A23" s="7"/>
      <c r="B23" s="155" t="s">
        <v>43</v>
      </c>
      <c r="C23" s="205">
        <v>37</v>
      </c>
      <c r="D23" s="162">
        <v>37</v>
      </c>
      <c r="E23" s="162">
        <v>37</v>
      </c>
      <c r="F23" s="162">
        <v>37</v>
      </c>
      <c r="G23" s="162">
        <v>37</v>
      </c>
      <c r="H23" s="162">
        <v>37</v>
      </c>
      <c r="I23" s="162">
        <v>37</v>
      </c>
      <c r="J23" s="162">
        <v>37</v>
      </c>
      <c r="K23" s="162">
        <v>37</v>
      </c>
      <c r="L23" s="162">
        <v>37</v>
      </c>
      <c r="M23" s="162">
        <v>37</v>
      </c>
      <c r="N23" s="162">
        <v>37</v>
      </c>
      <c r="O23" s="162">
        <v>37</v>
      </c>
      <c r="P23" s="162">
        <v>37</v>
      </c>
      <c r="Q23" s="162">
        <v>37</v>
      </c>
      <c r="R23" s="162">
        <v>37</v>
      </c>
      <c r="S23" s="162">
        <v>37</v>
      </c>
      <c r="T23" s="162">
        <v>37</v>
      </c>
      <c r="U23" s="194">
        <v>37</v>
      </c>
      <c r="V23" s="194">
        <v>37</v>
      </c>
      <c r="W23" s="194">
        <v>37</v>
      </c>
      <c r="X23" s="194">
        <v>37</v>
      </c>
      <c r="Y23" s="194">
        <v>37</v>
      </c>
      <c r="Z23" s="194">
        <v>37</v>
      </c>
      <c r="AA23" s="194">
        <v>37</v>
      </c>
      <c r="AB23" s="194">
        <v>37</v>
      </c>
      <c r="AC23" s="194">
        <v>37</v>
      </c>
      <c r="AD23" s="194">
        <v>37</v>
      </c>
      <c r="AE23" s="155" t="s">
        <v>43</v>
      </c>
    </row>
    <row r="24" spans="1:32" ht="12.75" customHeight="1" x14ac:dyDescent="0.2">
      <c r="A24" s="7"/>
      <c r="B24" s="9" t="s">
        <v>24</v>
      </c>
      <c r="C24" s="203"/>
      <c r="D24" s="204"/>
      <c r="E24" s="204">
        <v>1373</v>
      </c>
      <c r="F24" s="204">
        <v>1373</v>
      </c>
      <c r="G24" s="204">
        <v>1373</v>
      </c>
      <c r="H24" s="204">
        <v>1373</v>
      </c>
      <c r="I24" s="204">
        <v>1373</v>
      </c>
      <c r="J24" s="204">
        <v>1373</v>
      </c>
      <c r="K24" s="204">
        <v>1373</v>
      </c>
      <c r="L24" s="204">
        <v>1484</v>
      </c>
      <c r="M24" s="204">
        <v>1440</v>
      </c>
      <c r="N24" s="204">
        <v>1440</v>
      </c>
      <c r="O24" s="204">
        <v>1439</v>
      </c>
      <c r="P24" s="204">
        <v>1587</v>
      </c>
      <c r="Q24" s="204">
        <v>1587</v>
      </c>
      <c r="R24" s="204">
        <v>1587</v>
      </c>
      <c r="S24" s="204">
        <v>1587</v>
      </c>
      <c r="T24" s="204">
        <v>1587</v>
      </c>
      <c r="U24" s="204">
        <v>1864.2</v>
      </c>
      <c r="V24" s="204">
        <v>1864.2</v>
      </c>
      <c r="W24" s="204">
        <v>1864.2</v>
      </c>
      <c r="X24" s="204">
        <v>1864</v>
      </c>
      <c r="Y24" s="204">
        <v>1864.1</v>
      </c>
      <c r="Z24" s="204">
        <v>1864.2</v>
      </c>
      <c r="AA24" s="289">
        <v>1864.2</v>
      </c>
      <c r="AB24" s="204">
        <v>1864.2</v>
      </c>
      <c r="AC24" s="289">
        <v>1864.2</v>
      </c>
      <c r="AD24" s="289">
        <v>1860</v>
      </c>
      <c r="AE24" s="9" t="s">
        <v>24</v>
      </c>
    </row>
    <row r="25" spans="1:32" ht="12.75" customHeight="1" x14ac:dyDescent="0.2">
      <c r="A25" s="7"/>
      <c r="B25" s="155" t="s">
        <v>27</v>
      </c>
      <c r="C25" s="205" t="s">
        <v>50</v>
      </c>
      <c r="D25" s="162" t="s">
        <v>50</v>
      </c>
      <c r="E25" s="162" t="s">
        <v>50</v>
      </c>
      <c r="F25" s="162" t="s">
        <v>50</v>
      </c>
      <c r="G25" s="162" t="s">
        <v>50</v>
      </c>
      <c r="H25" s="162" t="s">
        <v>50</v>
      </c>
      <c r="I25" s="162" t="s">
        <v>50</v>
      </c>
      <c r="J25" s="162" t="s">
        <v>50</v>
      </c>
      <c r="K25" s="162" t="s">
        <v>50</v>
      </c>
      <c r="L25" s="162" t="s">
        <v>50</v>
      </c>
      <c r="M25" s="162" t="s">
        <v>50</v>
      </c>
      <c r="N25" s="162" t="s">
        <v>50</v>
      </c>
      <c r="O25" s="162" t="s">
        <v>50</v>
      </c>
      <c r="P25" s="162" t="s">
        <v>50</v>
      </c>
      <c r="Q25" s="162" t="s">
        <v>50</v>
      </c>
      <c r="R25" s="162" t="s">
        <v>50</v>
      </c>
      <c r="S25" s="162" t="s">
        <v>50</v>
      </c>
      <c r="T25" s="162" t="s">
        <v>50</v>
      </c>
      <c r="U25" s="162" t="s">
        <v>50</v>
      </c>
      <c r="V25" s="162" t="s">
        <v>50</v>
      </c>
      <c r="W25" s="162" t="s">
        <v>50</v>
      </c>
      <c r="X25" s="162" t="s">
        <v>50</v>
      </c>
      <c r="Y25" s="162" t="s">
        <v>50</v>
      </c>
      <c r="Z25" s="162" t="s">
        <v>50</v>
      </c>
      <c r="AA25" s="295" t="s">
        <v>50</v>
      </c>
      <c r="AB25" s="162" t="s">
        <v>50</v>
      </c>
      <c r="AC25" s="295" t="s">
        <v>50</v>
      </c>
      <c r="AD25" s="295" t="s">
        <v>50</v>
      </c>
      <c r="AE25" s="155" t="s">
        <v>27</v>
      </c>
    </row>
    <row r="26" spans="1:32" ht="12.75" customHeight="1" x14ac:dyDescent="0.2">
      <c r="A26" s="7"/>
      <c r="B26" s="9" t="s">
        <v>35</v>
      </c>
      <c r="C26" s="203">
        <v>5599</v>
      </c>
      <c r="D26" s="204">
        <v>4843</v>
      </c>
      <c r="E26" s="204">
        <v>5046</v>
      </c>
      <c r="F26" s="204">
        <v>5046</v>
      </c>
      <c r="G26" s="204">
        <v>5046</v>
      </c>
      <c r="H26" s="204">
        <v>5046</v>
      </c>
      <c r="I26" s="204">
        <v>5046</v>
      </c>
      <c r="J26" s="161">
        <v>5046</v>
      </c>
      <c r="K26" s="161">
        <v>6183</v>
      </c>
      <c r="L26" s="161">
        <v>6183</v>
      </c>
      <c r="M26" s="161">
        <v>6183</v>
      </c>
      <c r="N26" s="161">
        <v>6183</v>
      </c>
      <c r="O26" s="204">
        <v>6183</v>
      </c>
      <c r="P26" s="204">
        <v>6211</v>
      </c>
      <c r="Q26" s="204">
        <v>6215</v>
      </c>
      <c r="R26" s="204">
        <v>6215</v>
      </c>
      <c r="S26" s="204">
        <v>6214</v>
      </c>
      <c r="T26" s="204">
        <v>6220</v>
      </c>
      <c r="U26" s="204">
        <v>6219</v>
      </c>
      <c r="V26" s="204">
        <v>6237</v>
      </c>
      <c r="W26" s="204">
        <v>6242</v>
      </c>
      <c r="X26" s="204">
        <v>6251</v>
      </c>
      <c r="Y26" s="204">
        <v>6261</v>
      </c>
      <c r="Z26" s="204">
        <v>6256</v>
      </c>
      <c r="AA26" s="289">
        <v>6257</v>
      </c>
      <c r="AB26" s="204">
        <v>6257</v>
      </c>
      <c r="AC26" s="289">
        <v>6297</v>
      </c>
      <c r="AD26" s="161">
        <v>6297</v>
      </c>
      <c r="AE26" s="9" t="s">
        <v>35</v>
      </c>
    </row>
    <row r="27" spans="1:32" ht="12.75" customHeight="1" x14ac:dyDescent="0.2">
      <c r="A27" s="7"/>
      <c r="B27" s="155" t="s">
        <v>44</v>
      </c>
      <c r="C27" s="205">
        <v>350</v>
      </c>
      <c r="D27" s="162">
        <v>350</v>
      </c>
      <c r="E27" s="162">
        <v>351</v>
      </c>
      <c r="F27" s="162">
        <v>351</v>
      </c>
      <c r="G27" s="162">
        <v>351</v>
      </c>
      <c r="H27" s="162">
        <v>351</v>
      </c>
      <c r="I27" s="162">
        <v>351</v>
      </c>
      <c r="J27" s="162">
        <v>351</v>
      </c>
      <c r="K27" s="162">
        <v>351</v>
      </c>
      <c r="L27" s="162">
        <v>351</v>
      </c>
      <c r="M27" s="162">
        <v>351</v>
      </c>
      <c r="N27" s="162">
        <v>351</v>
      </c>
      <c r="O27" s="162">
        <v>351</v>
      </c>
      <c r="P27" s="162">
        <v>351</v>
      </c>
      <c r="Q27" s="162">
        <v>351</v>
      </c>
      <c r="R27" s="162">
        <v>351</v>
      </c>
      <c r="S27" s="162">
        <v>351</v>
      </c>
      <c r="T27" s="162">
        <v>351</v>
      </c>
      <c r="U27" s="162">
        <v>351</v>
      </c>
      <c r="V27" s="162">
        <v>351</v>
      </c>
      <c r="W27" s="162">
        <v>351</v>
      </c>
      <c r="X27" s="162">
        <v>351</v>
      </c>
      <c r="Y27" s="162">
        <v>351</v>
      </c>
      <c r="Z27" s="162">
        <v>351</v>
      </c>
      <c r="AA27" s="295">
        <v>351</v>
      </c>
      <c r="AB27" s="162">
        <v>351</v>
      </c>
      <c r="AC27" s="295">
        <v>351</v>
      </c>
      <c r="AD27" s="295">
        <v>351</v>
      </c>
      <c r="AE27" s="155" t="s">
        <v>44</v>
      </c>
    </row>
    <row r="28" spans="1:32" ht="12.75" customHeight="1" x14ac:dyDescent="0.2">
      <c r="A28" s="7"/>
      <c r="B28" s="9" t="s">
        <v>28</v>
      </c>
      <c r="C28" s="203"/>
      <c r="D28" s="204"/>
      <c r="E28" s="204">
        <v>3997</v>
      </c>
      <c r="F28" s="204">
        <v>3980</v>
      </c>
      <c r="G28" s="204">
        <v>3812</v>
      </c>
      <c r="H28" s="204">
        <v>3812</v>
      </c>
      <c r="I28" s="204">
        <v>3812</v>
      </c>
      <c r="J28" s="204">
        <v>3813</v>
      </c>
      <c r="K28" s="204">
        <v>3813</v>
      </c>
      <c r="L28" s="204">
        <v>3812</v>
      </c>
      <c r="M28" s="204">
        <v>3640</v>
      </c>
      <c r="N28" s="204">
        <v>3643</v>
      </c>
      <c r="O28" s="204">
        <v>3638</v>
      </c>
      <c r="P28" s="204">
        <v>3638</v>
      </c>
      <c r="Q28" s="204">
        <v>3660</v>
      </c>
      <c r="R28" s="204">
        <v>3660</v>
      </c>
      <c r="S28" s="204">
        <v>3660</v>
      </c>
      <c r="T28" s="204">
        <v>3660</v>
      </c>
      <c r="U28" s="204">
        <v>3659.3</v>
      </c>
      <c r="V28" s="204">
        <v>3659.3</v>
      </c>
      <c r="W28" s="204">
        <v>3659.3</v>
      </c>
      <c r="X28" s="204">
        <v>3654.6</v>
      </c>
      <c r="Y28" s="204">
        <v>3654.6</v>
      </c>
      <c r="Z28" s="204">
        <v>3654.6</v>
      </c>
      <c r="AA28" s="289">
        <v>3654.6</v>
      </c>
      <c r="AB28" s="204">
        <v>3653.5</v>
      </c>
      <c r="AC28" s="289">
        <v>3653.5</v>
      </c>
      <c r="AD28" s="251">
        <v>3722</v>
      </c>
      <c r="AE28" s="9" t="s">
        <v>28</v>
      </c>
    </row>
    <row r="29" spans="1:32" ht="12.75" customHeight="1" x14ac:dyDescent="0.2">
      <c r="A29" s="7"/>
      <c r="B29" s="155" t="s">
        <v>45</v>
      </c>
      <c r="C29" s="162" t="s">
        <v>50</v>
      </c>
      <c r="D29" s="162" t="s">
        <v>50</v>
      </c>
      <c r="E29" s="162" t="s">
        <v>50</v>
      </c>
      <c r="F29" s="162" t="s">
        <v>50</v>
      </c>
      <c r="G29" s="162" t="s">
        <v>50</v>
      </c>
      <c r="H29" s="162" t="s">
        <v>50</v>
      </c>
      <c r="I29" s="162" t="s">
        <v>50</v>
      </c>
      <c r="J29" s="162" t="s">
        <v>50</v>
      </c>
      <c r="K29" s="162" t="s">
        <v>50</v>
      </c>
      <c r="L29" s="162" t="s">
        <v>50</v>
      </c>
      <c r="M29" s="162" t="s">
        <v>50</v>
      </c>
      <c r="N29" s="162" t="s">
        <v>50</v>
      </c>
      <c r="O29" s="162" t="s">
        <v>50</v>
      </c>
      <c r="P29" s="162" t="s">
        <v>50</v>
      </c>
      <c r="Q29" s="162" t="s">
        <v>50</v>
      </c>
      <c r="R29" s="162" t="s">
        <v>50</v>
      </c>
      <c r="S29" s="162" t="s">
        <v>50</v>
      </c>
      <c r="T29" s="162" t="s">
        <v>50</v>
      </c>
      <c r="U29" s="162" t="s">
        <v>50</v>
      </c>
      <c r="V29" s="162" t="s">
        <v>50</v>
      </c>
      <c r="W29" s="162" t="s">
        <v>50</v>
      </c>
      <c r="X29" s="162" t="s">
        <v>50</v>
      </c>
      <c r="Y29" s="162" t="s">
        <v>50</v>
      </c>
      <c r="Z29" s="162" t="s">
        <v>50</v>
      </c>
      <c r="AA29" s="295" t="s">
        <v>50</v>
      </c>
      <c r="AB29" s="194" t="s">
        <v>50</v>
      </c>
      <c r="AC29" s="194" t="s">
        <v>50</v>
      </c>
      <c r="AD29" s="194"/>
      <c r="AE29" s="155" t="s">
        <v>45</v>
      </c>
    </row>
    <row r="30" spans="1:32" ht="12.75" customHeight="1" x14ac:dyDescent="0.2">
      <c r="A30" s="7"/>
      <c r="B30" s="9" t="s">
        <v>29</v>
      </c>
      <c r="C30" s="203"/>
      <c r="D30" s="204"/>
      <c r="E30" s="204">
        <v>1782</v>
      </c>
      <c r="F30" s="204">
        <v>1779</v>
      </c>
      <c r="G30" s="204">
        <v>1779</v>
      </c>
      <c r="H30" s="204">
        <v>1779</v>
      </c>
      <c r="I30" s="204">
        <v>1779</v>
      </c>
      <c r="J30" s="204">
        <v>1779</v>
      </c>
      <c r="K30" s="204">
        <v>1779</v>
      </c>
      <c r="L30" s="204">
        <v>1779</v>
      </c>
      <c r="M30" s="204">
        <v>1779</v>
      </c>
      <c r="N30" s="204">
        <v>1779</v>
      </c>
      <c r="O30" s="204">
        <v>1779</v>
      </c>
      <c r="P30" s="204">
        <v>1779</v>
      </c>
      <c r="Q30" s="204">
        <v>1779</v>
      </c>
      <c r="R30" s="204">
        <v>1779</v>
      </c>
      <c r="S30" s="204">
        <v>1779</v>
      </c>
      <c r="T30" s="204">
        <v>1779</v>
      </c>
      <c r="U30" s="204">
        <v>1779</v>
      </c>
      <c r="V30" s="204">
        <v>1779</v>
      </c>
      <c r="W30" s="204">
        <v>1779</v>
      </c>
      <c r="X30" s="204">
        <v>1779</v>
      </c>
      <c r="Y30" s="204">
        <v>1779</v>
      </c>
      <c r="Z30" s="204">
        <v>1779</v>
      </c>
      <c r="AA30" s="161">
        <v>1779</v>
      </c>
      <c r="AB30" s="289">
        <v>1779</v>
      </c>
      <c r="AC30" s="242">
        <v>1779</v>
      </c>
      <c r="AD30" s="289">
        <v>2635</v>
      </c>
      <c r="AE30" s="9" t="s">
        <v>29</v>
      </c>
      <c r="AF30" s="283"/>
    </row>
    <row r="31" spans="1:32" ht="12.75" customHeight="1" x14ac:dyDescent="0.2">
      <c r="A31" s="7"/>
      <c r="B31" s="155" t="s">
        <v>31</v>
      </c>
      <c r="C31" s="205" t="s">
        <v>50</v>
      </c>
      <c r="D31" s="162" t="s">
        <v>50</v>
      </c>
      <c r="E31" s="162" t="s">
        <v>50</v>
      </c>
      <c r="F31" s="162" t="s">
        <v>50</v>
      </c>
      <c r="G31" s="162" t="s">
        <v>50</v>
      </c>
      <c r="H31" s="162" t="s">
        <v>50</v>
      </c>
      <c r="I31" s="162" t="s">
        <v>50</v>
      </c>
      <c r="J31" s="162" t="s">
        <v>50</v>
      </c>
      <c r="K31" s="162" t="s">
        <v>50</v>
      </c>
      <c r="L31" s="162" t="s">
        <v>50</v>
      </c>
      <c r="M31" s="162" t="s">
        <v>50</v>
      </c>
      <c r="N31" s="162" t="s">
        <v>50</v>
      </c>
      <c r="O31" s="162" t="s">
        <v>50</v>
      </c>
      <c r="P31" s="162" t="s">
        <v>50</v>
      </c>
      <c r="Q31" s="162" t="s">
        <v>50</v>
      </c>
      <c r="R31" s="162" t="s">
        <v>50</v>
      </c>
      <c r="S31" s="162" t="s">
        <v>50</v>
      </c>
      <c r="T31" s="162" t="s">
        <v>50</v>
      </c>
      <c r="U31" s="162" t="s">
        <v>50</v>
      </c>
      <c r="V31" s="162" t="s">
        <v>50</v>
      </c>
      <c r="W31" s="162" t="s">
        <v>50</v>
      </c>
      <c r="X31" s="162" t="s">
        <v>50</v>
      </c>
      <c r="Y31" s="162" t="s">
        <v>50</v>
      </c>
      <c r="Z31" s="162" t="s">
        <v>50</v>
      </c>
      <c r="AA31" s="295" t="s">
        <v>50</v>
      </c>
      <c r="AB31" s="162" t="s">
        <v>50</v>
      </c>
      <c r="AC31" s="295" t="s">
        <v>50</v>
      </c>
      <c r="AD31" s="295" t="s">
        <v>50</v>
      </c>
      <c r="AE31" s="155" t="s">
        <v>31</v>
      </c>
    </row>
    <row r="32" spans="1:32" ht="12.75" customHeight="1" x14ac:dyDescent="0.2">
      <c r="A32" s="7"/>
      <c r="B32" s="9" t="s">
        <v>30</v>
      </c>
      <c r="C32" s="206"/>
      <c r="D32" s="221"/>
      <c r="E32" s="221">
        <v>2379</v>
      </c>
      <c r="F32" s="204">
        <v>172</v>
      </c>
      <c r="G32" s="204">
        <v>172</v>
      </c>
      <c r="H32" s="204">
        <v>172</v>
      </c>
      <c r="I32" s="204">
        <v>172</v>
      </c>
      <c r="J32" s="204">
        <v>172</v>
      </c>
      <c r="K32" s="204">
        <v>172</v>
      </c>
      <c r="L32" s="204">
        <v>172</v>
      </c>
      <c r="M32" s="204">
        <v>172</v>
      </c>
      <c r="N32" s="204">
        <v>172</v>
      </c>
      <c r="O32" s="204">
        <v>172</v>
      </c>
      <c r="P32" s="204">
        <v>172</v>
      </c>
      <c r="Q32" s="204">
        <v>172</v>
      </c>
      <c r="R32" s="204">
        <v>172</v>
      </c>
      <c r="S32" s="204">
        <v>172</v>
      </c>
      <c r="T32" s="204">
        <v>172</v>
      </c>
      <c r="U32" s="204">
        <v>172</v>
      </c>
      <c r="V32" s="204">
        <v>172</v>
      </c>
      <c r="W32" s="204">
        <v>172</v>
      </c>
      <c r="X32" s="204">
        <v>172</v>
      </c>
      <c r="Y32" s="204">
        <v>172</v>
      </c>
      <c r="Z32" s="204">
        <v>172</v>
      </c>
      <c r="AA32" s="289">
        <v>172</v>
      </c>
      <c r="AB32" s="204">
        <v>172</v>
      </c>
      <c r="AC32" s="289">
        <v>172</v>
      </c>
      <c r="AD32" s="289">
        <v>172</v>
      </c>
      <c r="AE32" s="9" t="s">
        <v>30</v>
      </c>
    </row>
    <row r="33" spans="1:33" ht="12.75" customHeight="1" x14ac:dyDescent="0.2">
      <c r="A33" s="7"/>
      <c r="B33" s="155" t="s">
        <v>46</v>
      </c>
      <c r="C33" s="205">
        <v>6000</v>
      </c>
      <c r="D33" s="162">
        <v>6057</v>
      </c>
      <c r="E33" s="162">
        <v>6072</v>
      </c>
      <c r="F33" s="162">
        <v>6120</v>
      </c>
      <c r="G33" s="162">
        <v>6120</v>
      </c>
      <c r="H33" s="162">
        <v>6245</v>
      </c>
      <c r="I33" s="162">
        <v>7787</v>
      </c>
      <c r="J33" s="162">
        <v>7842</v>
      </c>
      <c r="K33" s="162">
        <v>7842</v>
      </c>
      <c r="L33" s="162">
        <v>7872</v>
      </c>
      <c r="M33" s="162">
        <v>7872</v>
      </c>
      <c r="N33" s="162">
        <v>7884</v>
      </c>
      <c r="O33" s="162">
        <v>8018</v>
      </c>
      <c r="P33" s="162">
        <v>8029</v>
      </c>
      <c r="Q33" s="162">
        <v>8045</v>
      </c>
      <c r="R33" s="162">
        <v>8049</v>
      </c>
      <c r="S33" s="162">
        <v>7983</v>
      </c>
      <c r="T33" s="162">
        <v>8002</v>
      </c>
      <c r="U33" s="162">
        <v>8006</v>
      </c>
      <c r="V33" s="162">
        <v>8013</v>
      </c>
      <c r="W33" s="162">
        <v>8014</v>
      </c>
      <c r="X33" s="162">
        <v>8052</v>
      </c>
      <c r="Y33" s="162">
        <v>8052</v>
      </c>
      <c r="Z33" s="162">
        <v>8127</v>
      </c>
      <c r="AA33" s="295">
        <v>8136</v>
      </c>
      <c r="AB33" s="295">
        <v>8136</v>
      </c>
      <c r="AC33" s="295">
        <v>8132</v>
      </c>
      <c r="AD33" s="296">
        <v>8125</v>
      </c>
      <c r="AE33" s="155" t="s">
        <v>46</v>
      </c>
      <c r="AG33" s="1"/>
    </row>
    <row r="34" spans="1:33" ht="12.75" customHeight="1" x14ac:dyDescent="0.2">
      <c r="A34" s="7"/>
      <c r="B34" s="9" t="s">
        <v>47</v>
      </c>
      <c r="C34" s="204" t="s">
        <v>50</v>
      </c>
      <c r="D34" s="204" t="s">
        <v>50</v>
      </c>
      <c r="E34" s="204" t="s">
        <v>50</v>
      </c>
      <c r="F34" s="204" t="s">
        <v>50</v>
      </c>
      <c r="G34" s="204" t="s">
        <v>50</v>
      </c>
      <c r="H34" s="204" t="s">
        <v>50</v>
      </c>
      <c r="I34" s="204" t="s">
        <v>50</v>
      </c>
      <c r="J34" s="204" t="s">
        <v>50</v>
      </c>
      <c r="K34" s="204" t="s">
        <v>50</v>
      </c>
      <c r="L34" s="204" t="s">
        <v>50</v>
      </c>
      <c r="M34" s="204" t="s">
        <v>50</v>
      </c>
      <c r="N34" s="204" t="s">
        <v>50</v>
      </c>
      <c r="O34" s="204" t="s">
        <v>50</v>
      </c>
      <c r="P34" s="204" t="s">
        <v>50</v>
      </c>
      <c r="Q34" s="204" t="s">
        <v>50</v>
      </c>
      <c r="R34" s="204" t="s">
        <v>50</v>
      </c>
      <c r="S34" s="204" t="s">
        <v>50</v>
      </c>
      <c r="T34" s="204" t="s">
        <v>50</v>
      </c>
      <c r="U34" s="204" t="s">
        <v>50</v>
      </c>
      <c r="V34" s="204" t="s">
        <v>50</v>
      </c>
      <c r="W34" s="204" t="s">
        <v>50</v>
      </c>
      <c r="X34" s="204" t="s">
        <v>50</v>
      </c>
      <c r="Y34" s="204" t="s">
        <v>50</v>
      </c>
      <c r="Z34" s="204" t="s">
        <v>50</v>
      </c>
      <c r="AA34" s="289" t="s">
        <v>50</v>
      </c>
      <c r="AB34" s="204" t="s">
        <v>50</v>
      </c>
      <c r="AC34" s="289" t="s">
        <v>50</v>
      </c>
      <c r="AD34" s="290" t="s">
        <v>50</v>
      </c>
      <c r="AE34" s="9" t="s">
        <v>47</v>
      </c>
    </row>
    <row r="35" spans="1:33" ht="12.75" customHeight="1" x14ac:dyDescent="0.2">
      <c r="A35" s="7"/>
      <c r="B35" s="313" t="s">
        <v>36</v>
      </c>
      <c r="C35" s="367">
        <v>1631</v>
      </c>
      <c r="D35" s="350">
        <v>1631</v>
      </c>
      <c r="E35" s="350">
        <v>1631</v>
      </c>
      <c r="F35" s="350">
        <v>1153</v>
      </c>
      <c r="G35" s="350">
        <v>1153</v>
      </c>
      <c r="H35" s="350">
        <v>1153</v>
      </c>
      <c r="I35" s="350">
        <v>1153</v>
      </c>
      <c r="J35" s="350">
        <v>1153</v>
      </c>
      <c r="K35" s="350">
        <v>1153</v>
      </c>
      <c r="L35" s="350">
        <v>1153</v>
      </c>
      <c r="M35" s="350">
        <v>1065</v>
      </c>
      <c r="N35" s="350">
        <v>1065</v>
      </c>
      <c r="O35" s="350">
        <v>1065</v>
      </c>
      <c r="P35" s="350">
        <v>1065</v>
      </c>
      <c r="Q35" s="350">
        <v>1065</v>
      </c>
      <c r="R35" s="350">
        <v>1050</v>
      </c>
      <c r="S35" s="350">
        <v>1050</v>
      </c>
      <c r="T35" s="350">
        <v>1050</v>
      </c>
      <c r="U35" s="350">
        <v>1050</v>
      </c>
      <c r="V35" s="350">
        <v>1050</v>
      </c>
      <c r="W35" s="350">
        <v>1050</v>
      </c>
      <c r="X35" s="350">
        <v>1050</v>
      </c>
      <c r="Y35" s="350">
        <v>1050</v>
      </c>
      <c r="Z35" s="350">
        <v>1050</v>
      </c>
      <c r="AA35" s="350">
        <v>1050</v>
      </c>
      <c r="AB35" s="350">
        <v>1050</v>
      </c>
      <c r="AC35" s="350">
        <v>1050</v>
      </c>
      <c r="AD35" s="411">
        <v>1050</v>
      </c>
      <c r="AE35" s="313" t="s">
        <v>36</v>
      </c>
    </row>
    <row r="36" spans="1:33" ht="12.75" customHeight="1" x14ac:dyDescent="0.2">
      <c r="A36" s="7"/>
      <c r="B36" s="8" t="s">
        <v>91</v>
      </c>
      <c r="C36" s="243" t="s">
        <v>50</v>
      </c>
      <c r="D36" s="200" t="s">
        <v>50</v>
      </c>
      <c r="E36" s="200" t="s">
        <v>50</v>
      </c>
      <c r="F36" s="200" t="s">
        <v>50</v>
      </c>
      <c r="G36" s="200" t="s">
        <v>50</v>
      </c>
      <c r="H36" s="200" t="s">
        <v>50</v>
      </c>
      <c r="I36" s="200" t="s">
        <v>50</v>
      </c>
      <c r="J36" s="200" t="s">
        <v>50</v>
      </c>
      <c r="K36" s="200" t="s">
        <v>50</v>
      </c>
      <c r="L36" s="200" t="s">
        <v>50</v>
      </c>
      <c r="M36" s="200" t="s">
        <v>50</v>
      </c>
      <c r="N36" s="200" t="s">
        <v>50</v>
      </c>
      <c r="O36" s="200" t="s">
        <v>50</v>
      </c>
      <c r="P36" s="200" t="s">
        <v>50</v>
      </c>
      <c r="Q36" s="200" t="s">
        <v>50</v>
      </c>
      <c r="R36" s="200" t="s">
        <v>50</v>
      </c>
      <c r="S36" s="200" t="s">
        <v>50</v>
      </c>
      <c r="T36" s="200" t="s">
        <v>50</v>
      </c>
      <c r="U36" s="200" t="s">
        <v>50</v>
      </c>
      <c r="V36" s="200" t="s">
        <v>50</v>
      </c>
      <c r="W36" s="200" t="s">
        <v>50</v>
      </c>
      <c r="X36" s="200" t="s">
        <v>50</v>
      </c>
      <c r="Y36" s="200" t="s">
        <v>50</v>
      </c>
      <c r="Z36" s="200" t="s">
        <v>50</v>
      </c>
      <c r="AA36" s="200" t="s">
        <v>50</v>
      </c>
      <c r="AB36" s="200" t="s">
        <v>50</v>
      </c>
      <c r="AC36" s="200" t="s">
        <v>50</v>
      </c>
      <c r="AD36" s="200" t="s">
        <v>50</v>
      </c>
      <c r="AE36" s="8" t="s">
        <v>91</v>
      </c>
    </row>
    <row r="37" spans="1:33" ht="12.75" customHeight="1" x14ac:dyDescent="0.2">
      <c r="A37" s="7"/>
      <c r="B37" s="155" t="s">
        <v>0</v>
      </c>
      <c r="C37" s="205" t="s">
        <v>50</v>
      </c>
      <c r="D37" s="162" t="s">
        <v>50</v>
      </c>
      <c r="E37" s="162" t="s">
        <v>50</v>
      </c>
      <c r="F37" s="162" t="s">
        <v>50</v>
      </c>
      <c r="G37" s="162" t="s">
        <v>50</v>
      </c>
      <c r="H37" s="162" t="s">
        <v>50</v>
      </c>
      <c r="I37" s="162" t="s">
        <v>50</v>
      </c>
      <c r="J37" s="162" t="s">
        <v>50</v>
      </c>
      <c r="K37" s="162" t="s">
        <v>50</v>
      </c>
      <c r="L37" s="162" t="s">
        <v>50</v>
      </c>
      <c r="M37" s="162" t="s">
        <v>50</v>
      </c>
      <c r="N37" s="162" t="s">
        <v>50</v>
      </c>
      <c r="O37" s="162" t="s">
        <v>50</v>
      </c>
      <c r="P37" s="162" t="s">
        <v>50</v>
      </c>
      <c r="Q37" s="162" t="s">
        <v>50</v>
      </c>
      <c r="R37" s="162" t="s">
        <v>50</v>
      </c>
      <c r="S37" s="162" t="s">
        <v>50</v>
      </c>
      <c r="T37" s="162" t="s">
        <v>50</v>
      </c>
      <c r="U37" s="162" t="s">
        <v>50</v>
      </c>
      <c r="V37" s="162" t="s">
        <v>50</v>
      </c>
      <c r="W37" s="162" t="s">
        <v>50</v>
      </c>
      <c r="X37" s="162" t="s">
        <v>50</v>
      </c>
      <c r="Y37" s="162" t="s">
        <v>50</v>
      </c>
      <c r="Z37" s="162" t="s">
        <v>50</v>
      </c>
      <c r="AA37" s="295" t="s">
        <v>50</v>
      </c>
      <c r="AB37" s="162" t="s">
        <v>50</v>
      </c>
      <c r="AC37" s="295" t="s">
        <v>50</v>
      </c>
      <c r="AD37" s="295" t="s">
        <v>50</v>
      </c>
      <c r="AE37" s="155" t="s">
        <v>0</v>
      </c>
    </row>
    <row r="38" spans="1:33" ht="12.75" customHeight="1" x14ac:dyDescent="0.2">
      <c r="A38" s="7"/>
      <c r="B38" s="9" t="s">
        <v>93</v>
      </c>
      <c r="C38" s="203" t="s">
        <v>50</v>
      </c>
      <c r="D38" s="204" t="s">
        <v>50</v>
      </c>
      <c r="E38" s="204" t="s">
        <v>50</v>
      </c>
      <c r="F38" s="204" t="s">
        <v>50</v>
      </c>
      <c r="G38" s="204" t="s">
        <v>50</v>
      </c>
      <c r="H38" s="204" t="s">
        <v>50</v>
      </c>
      <c r="I38" s="204" t="s">
        <v>50</v>
      </c>
      <c r="J38" s="204" t="s">
        <v>50</v>
      </c>
      <c r="K38" s="204" t="s">
        <v>50</v>
      </c>
      <c r="L38" s="204" t="s">
        <v>50</v>
      </c>
      <c r="M38" s="204" t="s">
        <v>50</v>
      </c>
      <c r="N38" s="204" t="s">
        <v>50</v>
      </c>
      <c r="O38" s="204" t="s">
        <v>50</v>
      </c>
      <c r="P38" s="204" t="s">
        <v>50</v>
      </c>
      <c r="Q38" s="204" t="s">
        <v>50</v>
      </c>
      <c r="R38" s="204" t="s">
        <v>50</v>
      </c>
      <c r="S38" s="204" t="s">
        <v>50</v>
      </c>
      <c r="T38" s="204" t="s">
        <v>50</v>
      </c>
      <c r="U38" s="204" t="s">
        <v>50</v>
      </c>
      <c r="V38" s="204" t="s">
        <v>50</v>
      </c>
      <c r="W38" s="204" t="s">
        <v>50</v>
      </c>
      <c r="X38" s="204" t="s">
        <v>50</v>
      </c>
      <c r="Y38" s="204" t="s">
        <v>50</v>
      </c>
      <c r="Z38" s="204" t="s">
        <v>50</v>
      </c>
      <c r="AA38" s="289" t="s">
        <v>50</v>
      </c>
      <c r="AB38" s="204" t="s">
        <v>50</v>
      </c>
      <c r="AC38" s="289" t="s">
        <v>50</v>
      </c>
      <c r="AD38" s="289" t="s">
        <v>50</v>
      </c>
      <c r="AE38" s="9" t="s">
        <v>93</v>
      </c>
    </row>
    <row r="39" spans="1:33" ht="12.75" customHeight="1" x14ac:dyDescent="0.2">
      <c r="A39" s="7"/>
      <c r="B39" s="155" t="s">
        <v>92</v>
      </c>
      <c r="C39" s="205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94"/>
      <c r="S39" s="194"/>
      <c r="T39" s="194"/>
      <c r="U39" s="162">
        <v>1364</v>
      </c>
      <c r="V39" s="162">
        <v>1364</v>
      </c>
      <c r="W39" s="162">
        <v>1593</v>
      </c>
      <c r="X39" s="162">
        <v>1593</v>
      </c>
      <c r="Y39" s="162">
        <v>1593</v>
      </c>
      <c r="Z39" s="162">
        <v>1593</v>
      </c>
      <c r="AA39" s="295">
        <v>1593</v>
      </c>
      <c r="AB39" s="295">
        <v>1593</v>
      </c>
      <c r="AC39" s="295">
        <v>1593</v>
      </c>
      <c r="AD39" s="295">
        <v>1593</v>
      </c>
      <c r="AE39" s="155" t="s">
        <v>92</v>
      </c>
    </row>
    <row r="40" spans="1:33" ht="12.75" customHeight="1" x14ac:dyDescent="0.2">
      <c r="A40" s="7"/>
      <c r="B40" s="11" t="s">
        <v>32</v>
      </c>
      <c r="C40" s="209" t="s">
        <v>50</v>
      </c>
      <c r="D40" s="210" t="s">
        <v>50</v>
      </c>
      <c r="E40" s="210" t="s">
        <v>50</v>
      </c>
      <c r="F40" s="210" t="s">
        <v>50</v>
      </c>
      <c r="G40" s="210" t="s">
        <v>50</v>
      </c>
      <c r="H40" s="210" t="s">
        <v>50</v>
      </c>
      <c r="I40" s="210" t="s">
        <v>50</v>
      </c>
      <c r="J40" s="210" t="s">
        <v>50</v>
      </c>
      <c r="K40" s="210" t="s">
        <v>50</v>
      </c>
      <c r="L40" s="210" t="s">
        <v>50</v>
      </c>
      <c r="M40" s="210" t="s">
        <v>50</v>
      </c>
      <c r="N40" s="210" t="s">
        <v>50</v>
      </c>
      <c r="O40" s="210" t="s">
        <v>50</v>
      </c>
      <c r="P40" s="210" t="s">
        <v>50</v>
      </c>
      <c r="Q40" s="210" t="s">
        <v>50</v>
      </c>
      <c r="R40" s="210" t="s">
        <v>50</v>
      </c>
      <c r="S40" s="210" t="s">
        <v>50</v>
      </c>
      <c r="T40" s="210" t="s">
        <v>50</v>
      </c>
      <c r="U40" s="210" t="s">
        <v>50</v>
      </c>
      <c r="V40" s="210" t="s">
        <v>50</v>
      </c>
      <c r="W40" s="210" t="s">
        <v>50</v>
      </c>
      <c r="X40" s="210" t="s">
        <v>50</v>
      </c>
      <c r="Y40" s="210" t="s">
        <v>50</v>
      </c>
      <c r="Z40" s="210" t="s">
        <v>50</v>
      </c>
      <c r="AA40" s="210" t="s">
        <v>50</v>
      </c>
      <c r="AB40" s="210" t="s">
        <v>50</v>
      </c>
      <c r="AC40" s="210" t="s">
        <v>50</v>
      </c>
      <c r="AD40" s="210" t="s">
        <v>50</v>
      </c>
      <c r="AE40" s="11" t="s">
        <v>32</v>
      </c>
    </row>
    <row r="41" spans="1:33" ht="12.75" customHeight="1" x14ac:dyDescent="0.2">
      <c r="A41" s="7"/>
      <c r="B41" s="195" t="s">
        <v>18</v>
      </c>
      <c r="C41" s="205" t="s">
        <v>50</v>
      </c>
      <c r="D41" s="162" t="s">
        <v>50</v>
      </c>
      <c r="E41" s="162" t="s">
        <v>50</v>
      </c>
      <c r="F41" s="162" t="s">
        <v>50</v>
      </c>
      <c r="G41" s="162" t="s">
        <v>50</v>
      </c>
      <c r="H41" s="162" t="s">
        <v>50</v>
      </c>
      <c r="I41" s="162" t="s">
        <v>50</v>
      </c>
      <c r="J41" s="162" t="s">
        <v>50</v>
      </c>
      <c r="K41" s="162" t="s">
        <v>50</v>
      </c>
      <c r="L41" s="162" t="s">
        <v>50</v>
      </c>
      <c r="M41" s="162" t="s">
        <v>50</v>
      </c>
      <c r="N41" s="162" t="s">
        <v>50</v>
      </c>
      <c r="O41" s="162" t="s">
        <v>50</v>
      </c>
      <c r="P41" s="162" t="s">
        <v>50</v>
      </c>
      <c r="Q41" s="162" t="s">
        <v>50</v>
      </c>
      <c r="R41" s="162" t="s">
        <v>50</v>
      </c>
      <c r="S41" s="162" t="s">
        <v>50</v>
      </c>
      <c r="T41" s="162" t="s">
        <v>50</v>
      </c>
      <c r="U41" s="162" t="s">
        <v>50</v>
      </c>
      <c r="V41" s="162" t="s">
        <v>50</v>
      </c>
      <c r="W41" s="162" t="s">
        <v>50</v>
      </c>
      <c r="X41" s="162" t="s">
        <v>50</v>
      </c>
      <c r="Y41" s="162" t="s">
        <v>50</v>
      </c>
      <c r="Z41" s="162" t="s">
        <v>50</v>
      </c>
      <c r="AA41" s="295" t="s">
        <v>50</v>
      </c>
      <c r="AB41" s="162" t="s">
        <v>50</v>
      </c>
      <c r="AC41" s="295" t="s">
        <v>50</v>
      </c>
      <c r="AD41" s="295" t="s">
        <v>50</v>
      </c>
      <c r="AE41" s="195" t="s">
        <v>18</v>
      </c>
    </row>
    <row r="42" spans="1:33" ht="12.75" customHeight="1" x14ac:dyDescent="0.2">
      <c r="A42" s="7"/>
      <c r="B42" s="9" t="s">
        <v>48</v>
      </c>
      <c r="C42" s="203" t="s">
        <v>50</v>
      </c>
      <c r="D42" s="204" t="s">
        <v>50</v>
      </c>
      <c r="E42" s="204" t="s">
        <v>50</v>
      </c>
      <c r="F42" s="204" t="s">
        <v>50</v>
      </c>
      <c r="G42" s="204" t="s">
        <v>50</v>
      </c>
      <c r="H42" s="204" t="s">
        <v>50</v>
      </c>
      <c r="I42" s="204" t="s">
        <v>50</v>
      </c>
      <c r="J42" s="204" t="s">
        <v>50</v>
      </c>
      <c r="K42" s="204" t="s">
        <v>50</v>
      </c>
      <c r="L42" s="204" t="s">
        <v>50</v>
      </c>
      <c r="M42" s="204" t="s">
        <v>50</v>
      </c>
      <c r="N42" s="204" t="s">
        <v>50</v>
      </c>
      <c r="O42" s="204" t="s">
        <v>50</v>
      </c>
      <c r="P42" s="204" t="s">
        <v>50</v>
      </c>
      <c r="Q42" s="204" t="s">
        <v>50</v>
      </c>
      <c r="R42" s="204" t="s">
        <v>50</v>
      </c>
      <c r="S42" s="204" t="s">
        <v>50</v>
      </c>
      <c r="T42" s="204" t="s">
        <v>50</v>
      </c>
      <c r="U42" s="204" t="s">
        <v>50</v>
      </c>
      <c r="V42" s="204" t="s">
        <v>50</v>
      </c>
      <c r="W42" s="204" t="s">
        <v>50</v>
      </c>
      <c r="X42" s="204" t="s">
        <v>50</v>
      </c>
      <c r="Y42" s="204" t="s">
        <v>50</v>
      </c>
      <c r="Z42" s="204" t="s">
        <v>50</v>
      </c>
      <c r="AA42" s="289" t="s">
        <v>50</v>
      </c>
      <c r="AB42" s="204" t="s">
        <v>50</v>
      </c>
      <c r="AC42" s="289" t="s">
        <v>50</v>
      </c>
      <c r="AD42" s="289" t="s">
        <v>50</v>
      </c>
      <c r="AE42" s="9" t="s">
        <v>48</v>
      </c>
    </row>
    <row r="43" spans="1:33" ht="12.75" customHeight="1" x14ac:dyDescent="0.2">
      <c r="A43" s="7"/>
      <c r="B43" s="163" t="s">
        <v>19</v>
      </c>
      <c r="C43" s="244" t="s">
        <v>50</v>
      </c>
      <c r="D43" s="234" t="s">
        <v>50</v>
      </c>
      <c r="E43" s="234" t="s">
        <v>50</v>
      </c>
      <c r="F43" s="162" t="s">
        <v>50</v>
      </c>
      <c r="G43" s="162" t="s">
        <v>50</v>
      </c>
      <c r="H43" s="162" t="s">
        <v>50</v>
      </c>
      <c r="I43" s="162" t="s">
        <v>50</v>
      </c>
      <c r="J43" s="162" t="s">
        <v>50</v>
      </c>
      <c r="K43" s="162" t="s">
        <v>50</v>
      </c>
      <c r="L43" s="162" t="s">
        <v>50</v>
      </c>
      <c r="M43" s="162" t="s">
        <v>50</v>
      </c>
      <c r="N43" s="162" t="s">
        <v>50</v>
      </c>
      <c r="O43" s="162" t="s">
        <v>50</v>
      </c>
      <c r="P43" s="162" t="s">
        <v>50</v>
      </c>
      <c r="Q43" s="162" t="s">
        <v>50</v>
      </c>
      <c r="R43" s="162" t="s">
        <v>50</v>
      </c>
      <c r="S43" s="162" t="s">
        <v>50</v>
      </c>
      <c r="T43" s="162" t="s">
        <v>50</v>
      </c>
      <c r="U43" s="162" t="s">
        <v>50</v>
      </c>
      <c r="V43" s="162" t="s">
        <v>50</v>
      </c>
      <c r="W43" s="162" t="s">
        <v>50</v>
      </c>
      <c r="X43" s="162" t="s">
        <v>50</v>
      </c>
      <c r="Y43" s="162" t="s">
        <v>50</v>
      </c>
      <c r="Z43" s="162" t="s">
        <v>50</v>
      </c>
      <c r="AA43" s="295" t="s">
        <v>50</v>
      </c>
      <c r="AB43" s="162" t="s">
        <v>50</v>
      </c>
      <c r="AC43" s="295" t="s">
        <v>50</v>
      </c>
      <c r="AD43" s="295" t="s">
        <v>50</v>
      </c>
      <c r="AE43" s="163" t="s">
        <v>19</v>
      </c>
    </row>
    <row r="44" spans="1:33" ht="12.75" customHeight="1" x14ac:dyDescent="0.2">
      <c r="A44" s="7"/>
      <c r="B44" s="486" t="s">
        <v>119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</row>
    <row r="45" spans="1:33" ht="12.75" customHeight="1" x14ac:dyDescent="0.2">
      <c r="A45" s="7"/>
      <c r="B45" s="152" t="s">
        <v>125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</row>
    <row r="46" spans="1:33" ht="15" customHeight="1" x14ac:dyDescent="0.2">
      <c r="B46" s="151" t="s">
        <v>175</v>
      </c>
      <c r="C46" s="158"/>
      <c r="D46" s="34"/>
      <c r="E46" s="34"/>
      <c r="F46" s="34"/>
      <c r="G46" s="34"/>
      <c r="H46" s="34"/>
      <c r="I46" s="34"/>
      <c r="J46" s="34"/>
      <c r="K46" s="34"/>
      <c r="L46" s="34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</row>
    <row r="47" spans="1:33" x14ac:dyDescent="0.2">
      <c r="B47" s="282"/>
      <c r="C47" s="282"/>
    </row>
  </sheetData>
  <mergeCells count="4">
    <mergeCell ref="B1:C1"/>
    <mergeCell ref="B2:AE2"/>
    <mergeCell ref="B3:AE3"/>
    <mergeCell ref="B44:AE44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I48"/>
  <sheetViews>
    <sheetView tabSelected="1" topLeftCell="A16" zoomScaleNormal="100" workbookViewId="0">
      <selection activeCell="AR38" sqref="AR38"/>
    </sheetView>
  </sheetViews>
  <sheetFormatPr defaultRowHeight="12.75" x14ac:dyDescent="0.2"/>
  <cols>
    <col min="1" max="1" width="2.7109375" customWidth="1"/>
    <col min="2" max="2" width="4" customWidth="1"/>
    <col min="3" max="5" width="6.7109375" customWidth="1"/>
    <col min="6" max="9" width="5.7109375" customWidth="1"/>
    <col min="10" max="10" width="6.7109375" customWidth="1"/>
    <col min="11" max="14" width="5.7109375" customWidth="1"/>
    <col min="15" max="19" width="6.7109375" customWidth="1"/>
    <col min="20" max="22" width="7.28515625" customWidth="1"/>
    <col min="23" max="24" width="7.28515625" style="1" customWidth="1"/>
    <col min="25" max="30" width="7.28515625" customWidth="1"/>
    <col min="31" max="31" width="7.28515625" style="283" customWidth="1"/>
    <col min="32" max="32" width="7.28515625" customWidth="1"/>
    <col min="33" max="34" width="6.7109375" style="283" customWidth="1"/>
    <col min="35" max="35" width="5.5703125" customWidth="1"/>
  </cols>
  <sheetData>
    <row r="1" spans="1:35" ht="14.25" customHeight="1" x14ac:dyDescent="0.2">
      <c r="A1" s="1"/>
      <c r="B1" s="484"/>
      <c r="C1" s="48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AC1" s="454"/>
      <c r="AI1" s="17" t="s">
        <v>88</v>
      </c>
    </row>
    <row r="2" spans="1:35" ht="30" customHeight="1" x14ac:dyDescent="0.2">
      <c r="A2" s="1"/>
      <c r="B2" s="507" t="s">
        <v>16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</row>
    <row r="3" spans="1:35" ht="15" customHeight="1" x14ac:dyDescent="0.2">
      <c r="A3" s="1"/>
      <c r="B3" s="541" t="s">
        <v>17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</row>
    <row r="4" spans="1:35" x14ac:dyDescent="0.2">
      <c r="B4" s="3"/>
      <c r="C4" s="31"/>
      <c r="D4" s="32"/>
      <c r="E4" s="154"/>
      <c r="F4" s="154"/>
      <c r="G4" s="154"/>
      <c r="H4" s="154"/>
      <c r="I4" s="154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H4" s="61" t="s">
        <v>4</v>
      </c>
    </row>
    <row r="5" spans="1:35" ht="15" customHeight="1" x14ac:dyDescent="0.2">
      <c r="B5" s="128"/>
      <c r="C5" s="127">
        <v>1970</v>
      </c>
      <c r="D5" s="127">
        <v>1980</v>
      </c>
      <c r="E5" s="127">
        <v>1990</v>
      </c>
      <c r="F5" s="36">
        <v>1991</v>
      </c>
      <c r="G5" s="36">
        <v>1992</v>
      </c>
      <c r="H5" s="36">
        <v>1993</v>
      </c>
      <c r="I5" s="36">
        <v>1994</v>
      </c>
      <c r="J5" s="36">
        <v>1995</v>
      </c>
      <c r="K5" s="36">
        <v>1996</v>
      </c>
      <c r="L5" s="36">
        <v>1997</v>
      </c>
      <c r="M5" s="36">
        <v>1998</v>
      </c>
      <c r="N5" s="36">
        <v>1999</v>
      </c>
      <c r="O5" s="36">
        <v>2000</v>
      </c>
      <c r="P5" s="36">
        <v>2001</v>
      </c>
      <c r="Q5" s="36">
        <v>2002</v>
      </c>
      <c r="R5" s="36">
        <v>2003</v>
      </c>
      <c r="S5" s="36">
        <v>2004</v>
      </c>
      <c r="T5" s="36">
        <v>2005</v>
      </c>
      <c r="U5" s="36">
        <v>2006</v>
      </c>
      <c r="V5" s="36">
        <v>2007</v>
      </c>
      <c r="W5" s="36">
        <v>2008</v>
      </c>
      <c r="X5" s="36">
        <v>2009</v>
      </c>
      <c r="Y5" s="36">
        <v>2010</v>
      </c>
      <c r="Z5" s="36">
        <v>2011</v>
      </c>
      <c r="AA5" s="36">
        <v>2012</v>
      </c>
      <c r="AB5" s="36">
        <v>2013</v>
      </c>
      <c r="AC5" s="36">
        <v>2014</v>
      </c>
      <c r="AD5" s="36">
        <v>2015</v>
      </c>
      <c r="AE5" s="36">
        <v>2016</v>
      </c>
      <c r="AF5" s="265">
        <v>2017</v>
      </c>
      <c r="AG5" s="36">
        <v>2018</v>
      </c>
      <c r="AH5" s="455">
        <v>2019</v>
      </c>
      <c r="AI5" s="6"/>
    </row>
    <row r="6" spans="1:35" ht="12.75" customHeight="1" x14ac:dyDescent="0.2">
      <c r="B6" s="273" t="s">
        <v>106</v>
      </c>
      <c r="C6" s="280"/>
      <c r="D6" s="280"/>
      <c r="E6" s="280"/>
      <c r="F6" s="270"/>
      <c r="G6" s="270"/>
      <c r="H6" s="270"/>
      <c r="I6" s="274"/>
      <c r="J6" s="274">
        <f>J7-J35</f>
        <v>28497</v>
      </c>
      <c r="K6" s="274">
        <f t="shared" ref="K6:AH6" si="0">K7-K35</f>
        <v>28649</v>
      </c>
      <c r="L6" s="274">
        <f t="shared" si="0"/>
        <v>29331</v>
      </c>
      <c r="M6" s="274">
        <f t="shared" si="0"/>
        <v>29427</v>
      </c>
      <c r="N6" s="274">
        <f t="shared" si="0"/>
        <v>30555</v>
      </c>
      <c r="O6" s="274">
        <f t="shared" si="0"/>
        <v>30578</v>
      </c>
      <c r="P6" s="274">
        <f t="shared" si="0"/>
        <v>30582</v>
      </c>
      <c r="Q6" s="274">
        <f t="shared" si="0"/>
        <v>30395</v>
      </c>
      <c r="R6" s="274">
        <f t="shared" si="0"/>
        <v>30496</v>
      </c>
      <c r="S6" s="274">
        <f t="shared" si="0"/>
        <v>30964</v>
      </c>
      <c r="T6" s="274">
        <f t="shared" si="0"/>
        <v>31338</v>
      </c>
      <c r="U6" s="274">
        <f t="shared" si="0"/>
        <v>31767</v>
      </c>
      <c r="V6" s="274">
        <f t="shared" si="0"/>
        <v>30922</v>
      </c>
      <c r="W6" s="274">
        <f t="shared" si="0"/>
        <v>31100</v>
      </c>
      <c r="X6" s="274">
        <f t="shared" si="0"/>
        <v>31126</v>
      </c>
      <c r="Y6" s="274">
        <f t="shared" si="0"/>
        <v>31168</v>
      </c>
      <c r="Z6" s="274">
        <f t="shared" si="0"/>
        <v>32919</v>
      </c>
      <c r="AA6" s="274">
        <f t="shared" si="0"/>
        <v>32437.699999999997</v>
      </c>
      <c r="AB6" s="274">
        <f t="shared" si="0"/>
        <v>32154</v>
      </c>
      <c r="AC6" s="274">
        <f t="shared" si="0"/>
        <v>32560.6</v>
      </c>
      <c r="AD6" s="274">
        <f t="shared" si="0"/>
        <v>31689.599999999999</v>
      </c>
      <c r="AE6" s="274">
        <f t="shared" si="0"/>
        <v>31678.6</v>
      </c>
      <c r="AF6" s="274">
        <f t="shared" si="0"/>
        <v>31765.599999999999</v>
      </c>
      <c r="AG6" s="274">
        <f t="shared" si="0"/>
        <v>31758.6</v>
      </c>
      <c r="AH6" s="444">
        <f t="shared" si="0"/>
        <v>31681.599999999999</v>
      </c>
      <c r="AI6" s="281" t="s">
        <v>106</v>
      </c>
    </row>
    <row r="7" spans="1:35" ht="12.75" customHeight="1" x14ac:dyDescent="0.2">
      <c r="A7" s="7"/>
      <c r="B7" s="273" t="s">
        <v>94</v>
      </c>
      <c r="C7" s="280"/>
      <c r="D7" s="280"/>
      <c r="E7" s="280"/>
      <c r="F7" s="270"/>
      <c r="G7" s="270"/>
      <c r="H7" s="270"/>
      <c r="I7" s="274"/>
      <c r="J7" s="274">
        <f>SUM(J8:J35)</f>
        <v>31967</v>
      </c>
      <c r="K7" s="274">
        <f t="shared" ref="K7:AH7" si="1">SUM(K8:K35)</f>
        <v>32108</v>
      </c>
      <c r="L7" s="274">
        <f t="shared" si="1"/>
        <v>33267</v>
      </c>
      <c r="M7" s="274">
        <f t="shared" si="1"/>
        <v>33380</v>
      </c>
      <c r="N7" s="274">
        <f t="shared" si="1"/>
        <v>34478</v>
      </c>
      <c r="O7" s="274">
        <f t="shared" si="1"/>
        <v>34532</v>
      </c>
      <c r="P7" s="274">
        <f t="shared" si="1"/>
        <v>34950</v>
      </c>
      <c r="Q7" s="274">
        <f t="shared" si="1"/>
        <v>34762</v>
      </c>
      <c r="R7" s="274">
        <f t="shared" si="1"/>
        <v>34821</v>
      </c>
      <c r="S7" s="274">
        <f t="shared" si="1"/>
        <v>35369</v>
      </c>
      <c r="T7" s="274">
        <f t="shared" si="1"/>
        <v>35839</v>
      </c>
      <c r="U7" s="274">
        <f t="shared" si="1"/>
        <v>36286</v>
      </c>
      <c r="V7" s="274">
        <f t="shared" si="1"/>
        <v>35369</v>
      </c>
      <c r="W7" s="274">
        <f t="shared" si="1"/>
        <v>35547</v>
      </c>
      <c r="X7" s="274">
        <f t="shared" si="1"/>
        <v>35573</v>
      </c>
      <c r="Y7" s="274">
        <f t="shared" si="1"/>
        <v>35614</v>
      </c>
      <c r="Z7" s="274">
        <f t="shared" si="1"/>
        <v>37365</v>
      </c>
      <c r="AA7" s="274">
        <f t="shared" si="1"/>
        <v>36883.699999999997</v>
      </c>
      <c r="AB7" s="274">
        <f t="shared" si="1"/>
        <v>36600</v>
      </c>
      <c r="AC7" s="274">
        <f t="shared" si="1"/>
        <v>37006.6</v>
      </c>
      <c r="AD7" s="274">
        <f t="shared" si="1"/>
        <v>36135.599999999999</v>
      </c>
      <c r="AE7" s="274">
        <f t="shared" si="1"/>
        <v>36124.6</v>
      </c>
      <c r="AF7" s="274">
        <f t="shared" si="1"/>
        <v>36211.599999999999</v>
      </c>
      <c r="AG7" s="274">
        <f t="shared" si="1"/>
        <v>36204.6</v>
      </c>
      <c r="AH7" s="444">
        <f t="shared" si="1"/>
        <v>36127.599999999999</v>
      </c>
      <c r="AI7" s="275" t="s">
        <v>94</v>
      </c>
    </row>
    <row r="8" spans="1:35" ht="12.75" customHeight="1" x14ac:dyDescent="0.2">
      <c r="A8" s="7"/>
      <c r="B8" s="9" t="s">
        <v>37</v>
      </c>
      <c r="C8" s="245">
        <v>52</v>
      </c>
      <c r="D8" s="245">
        <v>458</v>
      </c>
      <c r="E8" s="245">
        <v>301</v>
      </c>
      <c r="F8" s="204">
        <v>294</v>
      </c>
      <c r="G8" s="204">
        <v>294</v>
      </c>
      <c r="H8" s="204">
        <v>294</v>
      </c>
      <c r="I8" s="161">
        <v>294</v>
      </c>
      <c r="J8" s="161">
        <v>294</v>
      </c>
      <c r="K8" s="226">
        <v>294</v>
      </c>
      <c r="L8" s="226">
        <v>294</v>
      </c>
      <c r="M8" s="226">
        <v>294</v>
      </c>
      <c r="N8" s="226">
        <v>294</v>
      </c>
      <c r="O8" s="226">
        <v>294</v>
      </c>
      <c r="P8" s="226">
        <v>294</v>
      </c>
      <c r="Q8" s="226">
        <v>294</v>
      </c>
      <c r="R8" s="226">
        <v>294</v>
      </c>
      <c r="S8" s="226">
        <v>294</v>
      </c>
      <c r="T8" s="226">
        <v>294</v>
      </c>
      <c r="U8" s="226">
        <v>294</v>
      </c>
      <c r="V8" s="226">
        <v>294</v>
      </c>
      <c r="W8" s="226">
        <v>294</v>
      </c>
      <c r="X8" s="226">
        <v>294</v>
      </c>
      <c r="Y8" s="226">
        <v>294</v>
      </c>
      <c r="Z8" s="226">
        <v>294</v>
      </c>
      <c r="AA8" s="226">
        <v>294</v>
      </c>
      <c r="AB8" s="226">
        <v>294</v>
      </c>
      <c r="AC8" s="226">
        <v>294</v>
      </c>
      <c r="AD8" s="226">
        <v>294</v>
      </c>
      <c r="AE8" s="305">
        <v>294</v>
      </c>
      <c r="AF8" s="226">
        <v>294</v>
      </c>
      <c r="AG8" s="305">
        <v>294</v>
      </c>
      <c r="AH8" s="305">
        <v>294</v>
      </c>
      <c r="AI8" s="9" t="s">
        <v>37</v>
      </c>
    </row>
    <row r="9" spans="1:35" ht="12.75" customHeight="1" x14ac:dyDescent="0.2">
      <c r="A9" s="7"/>
      <c r="B9" s="38" t="s">
        <v>20</v>
      </c>
      <c r="C9" s="246" t="s">
        <v>49</v>
      </c>
      <c r="D9" s="246" t="s">
        <v>49</v>
      </c>
      <c r="E9" s="246">
        <v>578</v>
      </c>
      <c r="F9" s="159">
        <v>578</v>
      </c>
      <c r="G9" s="159">
        <v>578</v>
      </c>
      <c r="H9" s="159">
        <v>578</v>
      </c>
      <c r="I9" s="159">
        <v>578</v>
      </c>
      <c r="J9" s="159">
        <v>578</v>
      </c>
      <c r="K9" s="159">
        <v>578</v>
      </c>
      <c r="L9" s="159">
        <v>578</v>
      </c>
      <c r="M9" s="159">
        <v>578</v>
      </c>
      <c r="N9" s="159">
        <v>578</v>
      </c>
      <c r="O9" s="159">
        <v>578</v>
      </c>
      <c r="P9" s="159">
        <v>578</v>
      </c>
      <c r="Q9" s="159">
        <v>578</v>
      </c>
      <c r="R9" s="159">
        <v>578</v>
      </c>
      <c r="S9" s="159">
        <v>578</v>
      </c>
      <c r="T9" s="159">
        <v>578</v>
      </c>
      <c r="U9" s="159">
        <v>578</v>
      </c>
      <c r="V9" s="159">
        <v>578</v>
      </c>
      <c r="W9" s="159">
        <v>603</v>
      </c>
      <c r="X9" s="159">
        <v>608</v>
      </c>
      <c r="Y9" s="159">
        <v>578</v>
      </c>
      <c r="Z9" s="159">
        <v>578</v>
      </c>
      <c r="AA9" s="159">
        <v>578</v>
      </c>
      <c r="AB9" s="159">
        <v>578</v>
      </c>
      <c r="AC9" s="159">
        <v>570</v>
      </c>
      <c r="AD9" s="159">
        <v>570</v>
      </c>
      <c r="AE9" s="291">
        <v>570</v>
      </c>
      <c r="AF9" s="159">
        <v>570</v>
      </c>
      <c r="AG9" s="291">
        <v>571</v>
      </c>
      <c r="AH9" s="291">
        <v>571</v>
      </c>
      <c r="AI9" s="38" t="s">
        <v>20</v>
      </c>
    </row>
    <row r="10" spans="1:35" ht="12.75" customHeight="1" x14ac:dyDescent="0.2">
      <c r="A10" s="7"/>
      <c r="B10" s="9" t="s">
        <v>22</v>
      </c>
      <c r="C10" s="245"/>
      <c r="D10" s="245"/>
      <c r="E10" s="245"/>
      <c r="F10" s="204"/>
      <c r="G10" s="204"/>
      <c r="H10" s="204">
        <v>568</v>
      </c>
      <c r="I10" s="204">
        <v>568</v>
      </c>
      <c r="J10" s="204">
        <v>581</v>
      </c>
      <c r="K10" s="204">
        <v>736</v>
      </c>
      <c r="L10" s="204">
        <v>736</v>
      </c>
      <c r="M10" s="204">
        <v>736</v>
      </c>
      <c r="N10" s="204">
        <v>736</v>
      </c>
      <c r="O10" s="204">
        <v>675</v>
      </c>
      <c r="P10" s="204">
        <v>675</v>
      </c>
      <c r="Q10" s="204">
        <v>675</v>
      </c>
      <c r="R10" s="204">
        <v>675</v>
      </c>
      <c r="S10" s="204">
        <v>675</v>
      </c>
      <c r="T10" s="204">
        <v>675</v>
      </c>
      <c r="U10" s="204">
        <v>675</v>
      </c>
      <c r="V10" s="204">
        <v>675</v>
      </c>
      <c r="W10" s="204">
        <v>675</v>
      </c>
      <c r="X10" s="204">
        <v>675</v>
      </c>
      <c r="Y10" s="204">
        <v>674</v>
      </c>
      <c r="Z10" s="204">
        <v>674</v>
      </c>
      <c r="AA10" s="204">
        <v>674</v>
      </c>
      <c r="AB10" s="204">
        <v>674</v>
      </c>
      <c r="AC10" s="204">
        <v>674</v>
      </c>
      <c r="AD10" s="204">
        <v>642</v>
      </c>
      <c r="AE10" s="289">
        <v>642</v>
      </c>
      <c r="AF10" s="204">
        <v>642</v>
      </c>
      <c r="AG10" s="289">
        <v>642</v>
      </c>
      <c r="AH10" s="289">
        <v>642</v>
      </c>
      <c r="AI10" s="9" t="s">
        <v>22</v>
      </c>
    </row>
    <row r="11" spans="1:35" ht="12.75" customHeight="1" x14ac:dyDescent="0.2">
      <c r="A11" s="7"/>
      <c r="B11" s="38" t="s">
        <v>33</v>
      </c>
      <c r="C11" s="247" t="s">
        <v>50</v>
      </c>
      <c r="D11" s="246">
        <v>77</v>
      </c>
      <c r="E11" s="246">
        <v>444</v>
      </c>
      <c r="F11" s="159">
        <v>444</v>
      </c>
      <c r="G11" s="159">
        <v>409</v>
      </c>
      <c r="H11" s="159">
        <v>336</v>
      </c>
      <c r="I11" s="159">
        <v>336</v>
      </c>
      <c r="J11" s="159">
        <v>330</v>
      </c>
      <c r="K11" s="159">
        <v>330</v>
      </c>
      <c r="L11" s="159">
        <v>330</v>
      </c>
      <c r="M11" s="159">
        <v>330</v>
      </c>
      <c r="N11" s="159">
        <v>330</v>
      </c>
      <c r="O11" s="159">
        <v>330</v>
      </c>
      <c r="P11" s="159">
        <v>330</v>
      </c>
      <c r="Q11" s="159">
        <v>330</v>
      </c>
      <c r="R11" s="159">
        <v>330</v>
      </c>
      <c r="S11" s="159">
        <v>330</v>
      </c>
      <c r="T11" s="159">
        <v>330</v>
      </c>
      <c r="U11" s="159">
        <v>330</v>
      </c>
      <c r="V11" s="159">
        <v>330</v>
      </c>
      <c r="W11" s="159">
        <v>330</v>
      </c>
      <c r="X11" s="159">
        <v>330</v>
      </c>
      <c r="Y11" s="159">
        <v>330</v>
      </c>
      <c r="Z11" s="159">
        <v>330</v>
      </c>
      <c r="AA11" s="159">
        <v>330</v>
      </c>
      <c r="AB11" s="159">
        <v>330</v>
      </c>
      <c r="AC11" s="159">
        <v>330</v>
      </c>
      <c r="AD11" s="159">
        <v>330</v>
      </c>
      <c r="AE11" s="291">
        <v>330</v>
      </c>
      <c r="AF11" s="159">
        <v>330</v>
      </c>
      <c r="AG11" s="291">
        <v>330</v>
      </c>
      <c r="AH11" s="291">
        <f>AG11</f>
        <v>330</v>
      </c>
      <c r="AI11" s="38" t="s">
        <v>33</v>
      </c>
    </row>
    <row r="12" spans="1:35" ht="12.75" customHeight="1" x14ac:dyDescent="0.2">
      <c r="A12" s="7"/>
      <c r="B12" s="9" t="s">
        <v>38</v>
      </c>
      <c r="C12" s="245">
        <v>2058</v>
      </c>
      <c r="D12" s="245">
        <v>2222</v>
      </c>
      <c r="E12" s="245">
        <v>2222</v>
      </c>
      <c r="F12" s="204">
        <v>3318</v>
      </c>
      <c r="G12" s="204">
        <v>3318</v>
      </c>
      <c r="H12" s="204">
        <v>3318</v>
      </c>
      <c r="I12" s="248">
        <v>2460</v>
      </c>
      <c r="J12" s="204">
        <v>2460</v>
      </c>
      <c r="K12" s="204">
        <v>2460</v>
      </c>
      <c r="L12" s="204">
        <v>2460</v>
      </c>
      <c r="M12" s="204">
        <v>2370</v>
      </c>
      <c r="N12" s="204">
        <v>2370</v>
      </c>
      <c r="O12" s="204">
        <v>2370</v>
      </c>
      <c r="P12" s="204">
        <v>2370</v>
      </c>
      <c r="Q12" s="204">
        <v>2370</v>
      </c>
      <c r="R12" s="204">
        <v>2370</v>
      </c>
      <c r="S12" s="204">
        <v>2370</v>
      </c>
      <c r="T12" s="204">
        <v>2370</v>
      </c>
      <c r="U12" s="204">
        <v>2370</v>
      </c>
      <c r="V12" s="204">
        <v>2370</v>
      </c>
      <c r="W12" s="204">
        <v>2370</v>
      </c>
      <c r="X12" s="204">
        <v>2370</v>
      </c>
      <c r="Y12" s="204">
        <v>2370</v>
      </c>
      <c r="Z12" s="204">
        <v>2370</v>
      </c>
      <c r="AA12" s="204">
        <v>2370</v>
      </c>
      <c r="AB12" s="204">
        <v>2370</v>
      </c>
      <c r="AC12" s="204">
        <v>2370</v>
      </c>
      <c r="AD12" s="204">
        <v>2370</v>
      </c>
      <c r="AE12" s="289">
        <v>2370</v>
      </c>
      <c r="AF12" s="204">
        <v>2370</v>
      </c>
      <c r="AG12" s="289">
        <v>2370</v>
      </c>
      <c r="AH12" s="289">
        <v>2370</v>
      </c>
      <c r="AI12" s="9" t="s">
        <v>38</v>
      </c>
    </row>
    <row r="13" spans="1:35" ht="12.75" customHeight="1" x14ac:dyDescent="0.2">
      <c r="A13" s="7"/>
      <c r="B13" s="38" t="s">
        <v>23</v>
      </c>
      <c r="C13" s="246" t="s">
        <v>50</v>
      </c>
      <c r="D13" s="246" t="s">
        <v>50</v>
      </c>
      <c r="E13" s="246" t="s">
        <v>50</v>
      </c>
      <c r="F13" s="159" t="s">
        <v>50</v>
      </c>
      <c r="G13" s="159" t="s">
        <v>50</v>
      </c>
      <c r="H13" s="159" t="s">
        <v>50</v>
      </c>
      <c r="I13" s="159" t="s">
        <v>50</v>
      </c>
      <c r="J13" s="159" t="s">
        <v>50</v>
      </c>
      <c r="K13" s="159" t="s">
        <v>50</v>
      </c>
      <c r="L13" s="159" t="s">
        <v>50</v>
      </c>
      <c r="M13" s="159" t="s">
        <v>50</v>
      </c>
      <c r="N13" s="159" t="s">
        <v>50</v>
      </c>
      <c r="O13" s="159" t="s">
        <v>50</v>
      </c>
      <c r="P13" s="159" t="s">
        <v>50</v>
      </c>
      <c r="Q13" s="159" t="s">
        <v>50</v>
      </c>
      <c r="R13" s="159" t="s">
        <v>50</v>
      </c>
      <c r="S13" s="159" t="s">
        <v>50</v>
      </c>
      <c r="T13" s="159" t="s">
        <v>50</v>
      </c>
      <c r="U13" s="159" t="s">
        <v>50</v>
      </c>
      <c r="V13" s="159" t="s">
        <v>50</v>
      </c>
      <c r="W13" s="159" t="s">
        <v>50</v>
      </c>
      <c r="X13" s="159" t="s">
        <v>50</v>
      </c>
      <c r="Y13" s="159" t="s">
        <v>50</v>
      </c>
      <c r="Z13" s="159" t="s">
        <v>50</v>
      </c>
      <c r="AA13" s="159" t="s">
        <v>50</v>
      </c>
      <c r="AB13" s="159" t="s">
        <v>50</v>
      </c>
      <c r="AC13" s="159" t="s">
        <v>50</v>
      </c>
      <c r="AD13" s="159" t="s">
        <v>50</v>
      </c>
      <c r="AE13" s="291" t="s">
        <v>50</v>
      </c>
      <c r="AF13" s="159" t="s">
        <v>50</v>
      </c>
      <c r="AG13" s="291" t="s">
        <v>50</v>
      </c>
      <c r="AH13" s="291" t="s">
        <v>50</v>
      </c>
      <c r="AI13" s="38" t="s">
        <v>23</v>
      </c>
    </row>
    <row r="14" spans="1:35" ht="12.75" customHeight="1" x14ac:dyDescent="0.2">
      <c r="A14" s="7"/>
      <c r="B14" s="9" t="s">
        <v>41</v>
      </c>
      <c r="C14" s="245" t="s">
        <v>50</v>
      </c>
      <c r="D14" s="245" t="s">
        <v>50</v>
      </c>
      <c r="E14" s="245" t="s">
        <v>50</v>
      </c>
      <c r="F14" s="204" t="s">
        <v>49</v>
      </c>
      <c r="G14" s="204" t="s">
        <v>50</v>
      </c>
      <c r="H14" s="204" t="s">
        <v>50</v>
      </c>
      <c r="I14" s="204" t="s">
        <v>50</v>
      </c>
      <c r="J14" s="204" t="s">
        <v>50</v>
      </c>
      <c r="K14" s="204" t="s">
        <v>50</v>
      </c>
      <c r="L14" s="204" t="s">
        <v>50</v>
      </c>
      <c r="M14" s="204" t="s">
        <v>50</v>
      </c>
      <c r="N14" s="204" t="s">
        <v>50</v>
      </c>
      <c r="O14" s="204" t="s">
        <v>50</v>
      </c>
      <c r="P14" s="204" t="s">
        <v>50</v>
      </c>
      <c r="Q14" s="204" t="s">
        <v>50</v>
      </c>
      <c r="R14" s="204" t="s">
        <v>50</v>
      </c>
      <c r="S14" s="204" t="s">
        <v>50</v>
      </c>
      <c r="T14" s="204" t="s">
        <v>50</v>
      </c>
      <c r="U14" s="204" t="s">
        <v>50</v>
      </c>
      <c r="V14" s="204" t="s">
        <v>50</v>
      </c>
      <c r="W14" s="204" t="s">
        <v>50</v>
      </c>
      <c r="X14" s="204" t="s">
        <v>50</v>
      </c>
      <c r="Y14" s="204" t="s">
        <v>50</v>
      </c>
      <c r="Z14" s="204" t="s">
        <v>50</v>
      </c>
      <c r="AA14" s="204" t="s">
        <v>50</v>
      </c>
      <c r="AB14" s="204" t="s">
        <v>50</v>
      </c>
      <c r="AC14" s="204" t="s">
        <v>50</v>
      </c>
      <c r="AD14" s="204" t="s">
        <v>50</v>
      </c>
      <c r="AE14" s="289" t="s">
        <v>50</v>
      </c>
      <c r="AF14" s="204" t="s">
        <v>50</v>
      </c>
      <c r="AG14" s="289" t="s">
        <v>50</v>
      </c>
      <c r="AH14" s="289" t="s">
        <v>50</v>
      </c>
      <c r="AI14" s="9" t="s">
        <v>41</v>
      </c>
    </row>
    <row r="15" spans="1:35" ht="12.75" customHeight="1" x14ac:dyDescent="0.2">
      <c r="A15" s="7"/>
      <c r="B15" s="38" t="s">
        <v>34</v>
      </c>
      <c r="C15" s="246" t="s">
        <v>50</v>
      </c>
      <c r="D15" s="246" t="s">
        <v>50</v>
      </c>
      <c r="E15" s="246" t="s">
        <v>50</v>
      </c>
      <c r="F15" s="159" t="s">
        <v>50</v>
      </c>
      <c r="G15" s="159" t="s">
        <v>50</v>
      </c>
      <c r="H15" s="159" t="s">
        <v>50</v>
      </c>
      <c r="I15" s="159" t="s">
        <v>50</v>
      </c>
      <c r="J15" s="159" t="s">
        <v>50</v>
      </c>
      <c r="K15" s="159" t="s">
        <v>50</v>
      </c>
      <c r="L15" s="159" t="s">
        <v>50</v>
      </c>
      <c r="M15" s="159" t="s">
        <v>50</v>
      </c>
      <c r="N15" s="159" t="s">
        <v>50</v>
      </c>
      <c r="O15" s="159" t="s">
        <v>50</v>
      </c>
      <c r="P15" s="159" t="s">
        <v>50</v>
      </c>
      <c r="Q15" s="159" t="s">
        <v>50</v>
      </c>
      <c r="R15" s="159" t="s">
        <v>50</v>
      </c>
      <c r="S15" s="159">
        <v>267</v>
      </c>
      <c r="T15" s="159">
        <v>267</v>
      </c>
      <c r="U15" s="159">
        <v>267</v>
      </c>
      <c r="V15" s="159">
        <v>267</v>
      </c>
      <c r="W15" s="159">
        <v>267</v>
      </c>
      <c r="X15" s="69">
        <v>267</v>
      </c>
      <c r="Y15" s="69">
        <v>267</v>
      </c>
      <c r="Z15" s="69">
        <v>267</v>
      </c>
      <c r="AA15" s="329">
        <v>267</v>
      </c>
      <c r="AB15" s="291">
        <v>53</v>
      </c>
      <c r="AC15" s="291">
        <v>53</v>
      </c>
      <c r="AD15" s="291">
        <v>53</v>
      </c>
      <c r="AE15" s="291">
        <v>53</v>
      </c>
      <c r="AF15" s="291">
        <v>53</v>
      </c>
      <c r="AG15" s="291">
        <v>53</v>
      </c>
      <c r="AH15" s="291">
        <v>53</v>
      </c>
      <c r="AI15" s="38" t="s">
        <v>34</v>
      </c>
    </row>
    <row r="16" spans="1:35" ht="12.75" customHeight="1" x14ac:dyDescent="0.2">
      <c r="A16" s="7"/>
      <c r="B16" s="9" t="s">
        <v>39</v>
      </c>
      <c r="C16" s="245">
        <v>930</v>
      </c>
      <c r="D16" s="245">
        <v>1753</v>
      </c>
      <c r="E16" s="245">
        <v>2678</v>
      </c>
      <c r="F16" s="204">
        <v>3097</v>
      </c>
      <c r="G16" s="204">
        <v>3536</v>
      </c>
      <c r="H16" s="204">
        <v>3536</v>
      </c>
      <c r="I16" s="204">
        <v>3536</v>
      </c>
      <c r="J16" s="204">
        <v>3691</v>
      </c>
      <c r="K16" s="204">
        <v>3691</v>
      </c>
      <c r="L16" s="204">
        <v>3691</v>
      </c>
      <c r="M16" s="204">
        <v>3691</v>
      </c>
      <c r="N16" s="204">
        <v>3698</v>
      </c>
      <c r="O16" s="204">
        <v>3780</v>
      </c>
      <c r="P16" s="204">
        <v>3779</v>
      </c>
      <c r="Q16" s="204">
        <v>3784</v>
      </c>
      <c r="R16" s="204">
        <v>3784</v>
      </c>
      <c r="S16" s="204">
        <v>3831</v>
      </c>
      <c r="T16" s="204">
        <v>3833</v>
      </c>
      <c r="U16" s="204">
        <v>3841</v>
      </c>
      <c r="V16" s="204">
        <v>3904</v>
      </c>
      <c r="W16" s="204">
        <v>4195</v>
      </c>
      <c r="X16" s="204">
        <v>4213</v>
      </c>
      <c r="Y16" s="204">
        <v>4365</v>
      </c>
      <c r="Z16" s="204">
        <v>4722</v>
      </c>
      <c r="AA16" s="204">
        <v>4743</v>
      </c>
      <c r="AB16" s="204">
        <v>4735</v>
      </c>
      <c r="AC16" s="204">
        <v>4735</v>
      </c>
      <c r="AD16" s="204">
        <v>4736</v>
      </c>
      <c r="AE16" s="289">
        <v>4736</v>
      </c>
      <c r="AF16" s="289">
        <v>4736</v>
      </c>
      <c r="AG16" s="289">
        <v>4723</v>
      </c>
      <c r="AH16" s="289">
        <v>4723</v>
      </c>
      <c r="AI16" s="9" t="s">
        <v>39</v>
      </c>
    </row>
    <row r="17" spans="1:35" ht="12.75" customHeight="1" x14ac:dyDescent="0.2">
      <c r="A17" s="7"/>
      <c r="B17" s="38" t="s">
        <v>40</v>
      </c>
      <c r="C17" s="246">
        <v>3609</v>
      </c>
      <c r="D17" s="246">
        <v>5254</v>
      </c>
      <c r="E17" s="246">
        <v>4948</v>
      </c>
      <c r="F17" s="159">
        <v>4871</v>
      </c>
      <c r="G17" s="159">
        <v>4871</v>
      </c>
      <c r="H17" s="159">
        <v>4830</v>
      </c>
      <c r="I17" s="159">
        <v>4830</v>
      </c>
      <c r="J17" s="159">
        <v>4983</v>
      </c>
      <c r="K17" s="159">
        <v>4983</v>
      </c>
      <c r="L17" s="159">
        <v>5746</v>
      </c>
      <c r="M17" s="159">
        <v>5746</v>
      </c>
      <c r="N17" s="159">
        <v>5746</v>
      </c>
      <c r="O17" s="159">
        <v>5746</v>
      </c>
      <c r="P17" s="159">
        <v>5746</v>
      </c>
      <c r="Q17" s="159">
        <v>5746</v>
      </c>
      <c r="R17" s="159">
        <v>5746</v>
      </c>
      <c r="S17" s="159">
        <v>5746</v>
      </c>
      <c r="T17" s="159">
        <v>5746</v>
      </c>
      <c r="U17" s="159">
        <v>5746</v>
      </c>
      <c r="V17" s="159">
        <v>6332</v>
      </c>
      <c r="W17" s="159">
        <v>6196</v>
      </c>
      <c r="X17" s="159">
        <v>6199</v>
      </c>
      <c r="Y17" s="159">
        <v>6293</v>
      </c>
      <c r="Z17" s="159">
        <v>7600</v>
      </c>
      <c r="AA17" s="159">
        <v>7493</v>
      </c>
      <c r="AB17" s="159">
        <v>7416</v>
      </c>
      <c r="AC17" s="159">
        <v>7696</v>
      </c>
      <c r="AD17" s="159">
        <v>7142</v>
      </c>
      <c r="AE17" s="291">
        <f>1376+762+627+2200+1796+260+94+27</f>
        <v>7142</v>
      </c>
      <c r="AF17" s="291">
        <f>1376+762+627+2200+1796+260+94+27</f>
        <v>7142</v>
      </c>
      <c r="AG17" s="291">
        <f>1376+762+627+2200+1796+260+94+27</f>
        <v>7142</v>
      </c>
      <c r="AH17" s="291">
        <f>1376+762+627+2200+1796+260+94+27</f>
        <v>7142</v>
      </c>
      <c r="AI17" s="38" t="s">
        <v>40</v>
      </c>
    </row>
    <row r="18" spans="1:35" ht="12.75" customHeight="1" x14ac:dyDescent="0.2">
      <c r="A18" s="7"/>
      <c r="B18" s="9" t="s">
        <v>51</v>
      </c>
      <c r="C18" s="245"/>
      <c r="D18" s="245"/>
      <c r="E18" s="245">
        <v>865</v>
      </c>
      <c r="F18" s="204"/>
      <c r="G18" s="204"/>
      <c r="H18" s="204"/>
      <c r="I18" s="204"/>
      <c r="J18" s="204">
        <v>601</v>
      </c>
      <c r="K18" s="204">
        <v>601</v>
      </c>
      <c r="L18" s="204">
        <v>601</v>
      </c>
      <c r="M18" s="204">
        <v>601</v>
      </c>
      <c r="N18" s="204">
        <v>601</v>
      </c>
      <c r="O18" s="204">
        <v>601</v>
      </c>
      <c r="P18" s="204">
        <v>601</v>
      </c>
      <c r="Q18" s="204">
        <v>601</v>
      </c>
      <c r="R18" s="204">
        <v>601</v>
      </c>
      <c r="S18" s="204">
        <v>601</v>
      </c>
      <c r="T18" s="204">
        <v>610</v>
      </c>
      <c r="U18" s="204">
        <v>610</v>
      </c>
      <c r="V18" s="204">
        <v>610</v>
      </c>
      <c r="W18" s="204">
        <v>610</v>
      </c>
      <c r="X18" s="204">
        <v>610</v>
      </c>
      <c r="Y18" s="204">
        <v>610</v>
      </c>
      <c r="Z18" s="204">
        <v>610</v>
      </c>
      <c r="AA18" s="204">
        <v>610</v>
      </c>
      <c r="AB18" s="204">
        <v>610</v>
      </c>
      <c r="AC18" s="204">
        <v>610</v>
      </c>
      <c r="AD18" s="204">
        <v>610</v>
      </c>
      <c r="AE18" s="289">
        <v>610</v>
      </c>
      <c r="AF18" s="204">
        <v>610</v>
      </c>
      <c r="AG18" s="289">
        <v>610</v>
      </c>
      <c r="AH18" s="289">
        <v>610</v>
      </c>
      <c r="AI18" s="9" t="s">
        <v>51</v>
      </c>
    </row>
    <row r="19" spans="1:35" ht="12.75" customHeight="1" x14ac:dyDescent="0.2">
      <c r="A19" s="7"/>
      <c r="B19" s="155" t="s">
        <v>42</v>
      </c>
      <c r="C19" s="249">
        <v>1939</v>
      </c>
      <c r="D19" s="249">
        <v>3069</v>
      </c>
      <c r="E19" s="249">
        <v>4086</v>
      </c>
      <c r="F19" s="162">
        <v>4098</v>
      </c>
      <c r="G19" s="162">
        <v>4235</v>
      </c>
      <c r="H19" s="162">
        <v>4235</v>
      </c>
      <c r="I19" s="162">
        <v>4235</v>
      </c>
      <c r="J19" s="162">
        <v>4235</v>
      </c>
      <c r="K19" s="162">
        <v>4233</v>
      </c>
      <c r="L19" s="162">
        <v>4145</v>
      </c>
      <c r="M19" s="162">
        <v>4331</v>
      </c>
      <c r="N19" s="162">
        <v>4364</v>
      </c>
      <c r="O19" s="162">
        <v>4346</v>
      </c>
      <c r="P19" s="162">
        <v>4358</v>
      </c>
      <c r="Q19" s="162">
        <v>4283</v>
      </c>
      <c r="R19" s="162">
        <v>4377</v>
      </c>
      <c r="S19" s="162">
        <v>4370</v>
      </c>
      <c r="T19" s="162">
        <v>4328</v>
      </c>
      <c r="U19" s="162">
        <v>4336</v>
      </c>
      <c r="V19" s="162">
        <v>4359</v>
      </c>
      <c r="W19" s="162">
        <v>4360</v>
      </c>
      <c r="X19" s="162">
        <v>4291</v>
      </c>
      <c r="Y19" s="162">
        <v>4291</v>
      </c>
      <c r="Z19" s="162">
        <v>4290</v>
      </c>
      <c r="AA19" s="162">
        <v>4290</v>
      </c>
      <c r="AB19" s="162">
        <v>4303</v>
      </c>
      <c r="AC19" s="162">
        <v>4308</v>
      </c>
      <c r="AD19" s="162">
        <v>4022</v>
      </c>
      <c r="AE19" s="295">
        <v>4012</v>
      </c>
      <c r="AF19" s="162">
        <v>4016</v>
      </c>
      <c r="AG19" s="295">
        <v>4018</v>
      </c>
      <c r="AH19" s="295">
        <v>4018</v>
      </c>
      <c r="AI19" s="155" t="s">
        <v>42</v>
      </c>
    </row>
    <row r="20" spans="1:35" ht="12.75" customHeight="1" x14ac:dyDescent="0.2">
      <c r="A20" s="7"/>
      <c r="B20" s="9" t="s">
        <v>21</v>
      </c>
      <c r="C20" s="245" t="s">
        <v>50</v>
      </c>
      <c r="D20" s="245" t="s">
        <v>50</v>
      </c>
      <c r="E20" s="245" t="s">
        <v>50</v>
      </c>
      <c r="F20" s="204" t="s">
        <v>50</v>
      </c>
      <c r="G20" s="204" t="s">
        <v>50</v>
      </c>
      <c r="H20" s="204" t="s">
        <v>50</v>
      </c>
      <c r="I20" s="204" t="s">
        <v>50</v>
      </c>
      <c r="J20" s="204" t="s">
        <v>50</v>
      </c>
      <c r="K20" s="204" t="s">
        <v>50</v>
      </c>
      <c r="L20" s="204" t="s">
        <v>50</v>
      </c>
      <c r="M20" s="204" t="s">
        <v>50</v>
      </c>
      <c r="N20" s="204" t="s">
        <v>50</v>
      </c>
      <c r="O20" s="204" t="s">
        <v>50</v>
      </c>
      <c r="P20" s="204" t="s">
        <v>50</v>
      </c>
      <c r="Q20" s="204" t="s">
        <v>50</v>
      </c>
      <c r="R20" s="204" t="s">
        <v>50</v>
      </c>
      <c r="S20" s="204" t="s">
        <v>50</v>
      </c>
      <c r="T20" s="204" t="s">
        <v>50</v>
      </c>
      <c r="U20" s="204" t="s">
        <v>50</v>
      </c>
      <c r="V20" s="204" t="s">
        <v>50</v>
      </c>
      <c r="W20" s="204" t="s">
        <v>50</v>
      </c>
      <c r="X20" s="204" t="s">
        <v>50</v>
      </c>
      <c r="Y20" s="204" t="s">
        <v>50</v>
      </c>
      <c r="Z20" s="204" t="s">
        <v>50</v>
      </c>
      <c r="AA20" s="204" t="s">
        <v>50</v>
      </c>
      <c r="AB20" s="204" t="s">
        <v>50</v>
      </c>
      <c r="AC20" s="204" t="s">
        <v>50</v>
      </c>
      <c r="AD20" s="204" t="s">
        <v>50</v>
      </c>
      <c r="AE20" s="289" t="s">
        <v>50</v>
      </c>
      <c r="AF20" s="204" t="s">
        <v>50</v>
      </c>
      <c r="AG20" s="289" t="s">
        <v>50</v>
      </c>
      <c r="AH20" s="289" t="s">
        <v>50</v>
      </c>
      <c r="AI20" s="9" t="s">
        <v>21</v>
      </c>
    </row>
    <row r="21" spans="1:35" ht="12.75" customHeight="1" x14ac:dyDescent="0.2">
      <c r="A21" s="7"/>
      <c r="B21" s="155" t="s">
        <v>25</v>
      </c>
      <c r="C21" s="249" t="s">
        <v>49</v>
      </c>
      <c r="D21" s="249" t="s">
        <v>49</v>
      </c>
      <c r="E21" s="249">
        <v>766</v>
      </c>
      <c r="F21" s="162">
        <v>766</v>
      </c>
      <c r="G21" s="162">
        <v>766</v>
      </c>
      <c r="H21" s="162">
        <v>755</v>
      </c>
      <c r="I21" s="162">
        <v>766</v>
      </c>
      <c r="J21" s="162">
        <v>766</v>
      </c>
      <c r="K21" s="162">
        <v>766</v>
      </c>
      <c r="L21" s="162">
        <v>766</v>
      </c>
      <c r="M21" s="162">
        <v>766</v>
      </c>
      <c r="N21" s="162">
        <v>766</v>
      </c>
      <c r="O21" s="162">
        <v>766</v>
      </c>
      <c r="P21" s="162">
        <v>766</v>
      </c>
      <c r="Q21" s="162">
        <v>766</v>
      </c>
      <c r="R21" s="162">
        <v>766</v>
      </c>
      <c r="S21" s="162">
        <v>766</v>
      </c>
      <c r="T21" s="162">
        <v>860</v>
      </c>
      <c r="U21" s="162">
        <v>860</v>
      </c>
      <c r="V21" s="162">
        <v>417</v>
      </c>
      <c r="W21" s="162">
        <v>417</v>
      </c>
      <c r="X21" s="162">
        <v>417</v>
      </c>
      <c r="Y21" s="162">
        <v>417</v>
      </c>
      <c r="Z21" s="162">
        <v>417</v>
      </c>
      <c r="AA21" s="162">
        <v>417</v>
      </c>
      <c r="AB21" s="162">
        <v>417</v>
      </c>
      <c r="AC21" s="162">
        <v>417</v>
      </c>
      <c r="AD21" s="162">
        <v>417</v>
      </c>
      <c r="AE21" s="295">
        <v>417</v>
      </c>
      <c r="AF21" s="162">
        <v>414</v>
      </c>
      <c r="AG21" s="295">
        <v>417</v>
      </c>
      <c r="AH21" s="295">
        <v>340</v>
      </c>
      <c r="AI21" s="155" t="s">
        <v>25</v>
      </c>
    </row>
    <row r="22" spans="1:35" ht="12.75" customHeight="1" x14ac:dyDescent="0.2">
      <c r="A22" s="7"/>
      <c r="B22" s="9" t="s">
        <v>26</v>
      </c>
      <c r="C22" s="245" t="s">
        <v>49</v>
      </c>
      <c r="D22" s="245" t="s">
        <v>49</v>
      </c>
      <c r="E22" s="245"/>
      <c r="F22" s="204"/>
      <c r="G22" s="204"/>
      <c r="H22" s="204"/>
      <c r="I22" s="204"/>
      <c r="J22" s="204">
        <v>400</v>
      </c>
      <c r="K22" s="204">
        <v>399</v>
      </c>
      <c r="L22" s="204">
        <v>399</v>
      </c>
      <c r="M22" s="204">
        <v>399</v>
      </c>
      <c r="N22" s="204">
        <v>500</v>
      </c>
      <c r="O22" s="204">
        <v>500</v>
      </c>
      <c r="P22" s="204">
        <v>500</v>
      </c>
      <c r="Q22" s="204">
        <v>500</v>
      </c>
      <c r="R22" s="204">
        <v>500</v>
      </c>
      <c r="S22" s="204">
        <v>500</v>
      </c>
      <c r="T22" s="204">
        <v>500</v>
      </c>
      <c r="U22" s="204">
        <v>500</v>
      </c>
      <c r="V22" s="204">
        <v>500</v>
      </c>
      <c r="W22" s="204">
        <v>500</v>
      </c>
      <c r="X22" s="204">
        <v>500</v>
      </c>
      <c r="Y22" s="204">
        <v>500</v>
      </c>
      <c r="Z22" s="204">
        <v>500</v>
      </c>
      <c r="AA22" s="204">
        <v>500</v>
      </c>
      <c r="AB22" s="204">
        <v>500</v>
      </c>
      <c r="AC22" s="204">
        <v>500</v>
      </c>
      <c r="AD22" s="204">
        <v>500</v>
      </c>
      <c r="AE22" s="289">
        <v>500</v>
      </c>
      <c r="AF22" s="204">
        <v>500</v>
      </c>
      <c r="AG22" s="289">
        <v>500</v>
      </c>
      <c r="AH22" s="289">
        <v>500</v>
      </c>
      <c r="AI22" s="9" t="s">
        <v>26</v>
      </c>
    </row>
    <row r="23" spans="1:35" ht="12.75" customHeight="1" x14ac:dyDescent="0.2">
      <c r="A23" s="7"/>
      <c r="B23" s="155" t="s">
        <v>43</v>
      </c>
      <c r="C23" s="249" t="s">
        <v>50</v>
      </c>
      <c r="D23" s="249" t="s">
        <v>50</v>
      </c>
      <c r="E23" s="249" t="s">
        <v>50</v>
      </c>
      <c r="F23" s="162" t="s">
        <v>50</v>
      </c>
      <c r="G23" s="162" t="s">
        <v>50</v>
      </c>
      <c r="H23" s="162" t="s">
        <v>50</v>
      </c>
      <c r="I23" s="162" t="s">
        <v>50</v>
      </c>
      <c r="J23" s="162" t="s">
        <v>50</v>
      </c>
      <c r="K23" s="162" t="s">
        <v>50</v>
      </c>
      <c r="L23" s="162" t="s">
        <v>50</v>
      </c>
      <c r="M23" s="162" t="s">
        <v>50</v>
      </c>
      <c r="N23" s="162" t="s">
        <v>50</v>
      </c>
      <c r="O23" s="162" t="s">
        <v>50</v>
      </c>
      <c r="P23" s="162" t="s">
        <v>50</v>
      </c>
      <c r="Q23" s="162" t="s">
        <v>50</v>
      </c>
      <c r="R23" s="162" t="s">
        <v>50</v>
      </c>
      <c r="S23" s="162" t="s">
        <v>50</v>
      </c>
      <c r="T23" s="162" t="s">
        <v>50</v>
      </c>
      <c r="U23" s="162" t="s">
        <v>50</v>
      </c>
      <c r="V23" s="162" t="s">
        <v>50</v>
      </c>
      <c r="W23" s="162" t="s">
        <v>50</v>
      </c>
      <c r="X23" s="162" t="s">
        <v>50</v>
      </c>
      <c r="Y23" s="162" t="s">
        <v>50</v>
      </c>
      <c r="Z23" s="162" t="s">
        <v>50</v>
      </c>
      <c r="AA23" s="162" t="s">
        <v>50</v>
      </c>
      <c r="AB23" s="162" t="s">
        <v>50</v>
      </c>
      <c r="AC23" s="162" t="s">
        <v>50</v>
      </c>
      <c r="AD23" s="162" t="s">
        <v>50</v>
      </c>
      <c r="AE23" s="295" t="s">
        <v>50</v>
      </c>
      <c r="AF23" s="162" t="s">
        <v>50</v>
      </c>
      <c r="AG23" s="295" t="s">
        <v>50</v>
      </c>
      <c r="AH23" s="229" t="s">
        <v>50</v>
      </c>
      <c r="AI23" s="155" t="s">
        <v>43</v>
      </c>
    </row>
    <row r="24" spans="1:35" ht="12.75" customHeight="1" x14ac:dyDescent="0.2">
      <c r="A24" s="7"/>
      <c r="B24" s="9" t="s">
        <v>24</v>
      </c>
      <c r="C24" s="245" t="s">
        <v>49</v>
      </c>
      <c r="D24" s="245">
        <v>1067</v>
      </c>
      <c r="E24" s="245">
        <v>2574</v>
      </c>
      <c r="F24" s="204">
        <v>2574</v>
      </c>
      <c r="G24" s="204">
        <v>2483</v>
      </c>
      <c r="H24" s="204">
        <v>2071</v>
      </c>
      <c r="I24" s="204">
        <v>2071</v>
      </c>
      <c r="J24" s="204">
        <v>2071</v>
      </c>
      <c r="K24" s="204">
        <v>2071</v>
      </c>
      <c r="L24" s="204">
        <v>848</v>
      </c>
      <c r="M24" s="204">
        <v>848</v>
      </c>
      <c r="N24" s="204">
        <v>2041</v>
      </c>
      <c r="O24" s="204">
        <v>2061</v>
      </c>
      <c r="P24" s="204">
        <v>2047</v>
      </c>
      <c r="Q24" s="204">
        <v>2047</v>
      </c>
      <c r="R24" s="204">
        <v>2047</v>
      </c>
      <c r="S24" s="204">
        <v>2031</v>
      </c>
      <c r="T24" s="204">
        <v>2032</v>
      </c>
      <c r="U24" s="204">
        <v>2032</v>
      </c>
      <c r="V24" s="204">
        <v>2209</v>
      </c>
      <c r="W24" s="204">
        <v>2206</v>
      </c>
      <c r="X24" s="204">
        <v>2207</v>
      </c>
      <c r="Y24" s="204">
        <v>2209</v>
      </c>
      <c r="Z24" s="204">
        <v>2215</v>
      </c>
      <c r="AA24" s="204">
        <v>2214.6999999999998</v>
      </c>
      <c r="AB24" s="204">
        <v>2217</v>
      </c>
      <c r="AC24" s="204">
        <v>2214.6</v>
      </c>
      <c r="AD24" s="204">
        <v>2214.6</v>
      </c>
      <c r="AE24" s="289">
        <v>2214.6</v>
      </c>
      <c r="AF24" s="204">
        <v>2235.6</v>
      </c>
      <c r="AG24" s="289">
        <v>2235.6</v>
      </c>
      <c r="AH24" s="289">
        <v>2235.6</v>
      </c>
      <c r="AI24" s="9" t="s">
        <v>24</v>
      </c>
    </row>
    <row r="25" spans="1:35" ht="12.75" customHeight="1" x14ac:dyDescent="0.2">
      <c r="A25" s="7"/>
      <c r="B25" s="155" t="s">
        <v>27</v>
      </c>
      <c r="C25" s="249" t="s">
        <v>50</v>
      </c>
      <c r="D25" s="249" t="s">
        <v>50</v>
      </c>
      <c r="E25" s="249" t="s">
        <v>50</v>
      </c>
      <c r="F25" s="162" t="s">
        <v>50</v>
      </c>
      <c r="G25" s="162" t="s">
        <v>50</v>
      </c>
      <c r="H25" s="162" t="s">
        <v>50</v>
      </c>
      <c r="I25" s="162" t="s">
        <v>50</v>
      </c>
      <c r="J25" s="162" t="s">
        <v>50</v>
      </c>
      <c r="K25" s="162" t="s">
        <v>50</v>
      </c>
      <c r="L25" s="162" t="s">
        <v>50</v>
      </c>
      <c r="M25" s="162" t="s">
        <v>50</v>
      </c>
      <c r="N25" s="162" t="s">
        <v>50</v>
      </c>
      <c r="O25" s="162" t="s">
        <v>50</v>
      </c>
      <c r="P25" s="162" t="s">
        <v>50</v>
      </c>
      <c r="Q25" s="162" t="s">
        <v>50</v>
      </c>
      <c r="R25" s="162" t="s">
        <v>50</v>
      </c>
      <c r="S25" s="162" t="s">
        <v>50</v>
      </c>
      <c r="T25" s="162" t="s">
        <v>50</v>
      </c>
      <c r="U25" s="162" t="s">
        <v>50</v>
      </c>
      <c r="V25" s="162" t="s">
        <v>50</v>
      </c>
      <c r="W25" s="162" t="s">
        <v>50</v>
      </c>
      <c r="X25" s="162" t="s">
        <v>50</v>
      </c>
      <c r="Y25" s="162" t="s">
        <v>50</v>
      </c>
      <c r="Z25" s="162" t="s">
        <v>50</v>
      </c>
      <c r="AA25" s="162" t="s">
        <v>50</v>
      </c>
      <c r="AB25" s="162" t="s">
        <v>50</v>
      </c>
      <c r="AC25" s="162" t="s">
        <v>50</v>
      </c>
      <c r="AD25" s="162" t="s">
        <v>50</v>
      </c>
      <c r="AE25" s="295" t="s">
        <v>50</v>
      </c>
      <c r="AF25" s="295" t="s">
        <v>50</v>
      </c>
      <c r="AG25" s="295" t="s">
        <v>50</v>
      </c>
      <c r="AH25" s="229" t="s">
        <v>50</v>
      </c>
      <c r="AI25" s="155" t="s">
        <v>27</v>
      </c>
    </row>
    <row r="26" spans="1:35" ht="12.75" customHeight="1" x14ac:dyDescent="0.2">
      <c r="A26" s="7"/>
      <c r="B26" s="9" t="s">
        <v>35</v>
      </c>
      <c r="C26" s="245">
        <v>323</v>
      </c>
      <c r="D26" s="245">
        <v>391</v>
      </c>
      <c r="E26" s="245">
        <v>391</v>
      </c>
      <c r="F26" s="204">
        <v>391</v>
      </c>
      <c r="G26" s="204">
        <v>391</v>
      </c>
      <c r="H26" s="204">
        <v>391</v>
      </c>
      <c r="I26" s="204">
        <v>391</v>
      </c>
      <c r="J26" s="204">
        <v>391</v>
      </c>
      <c r="K26" s="204">
        <v>391</v>
      </c>
      <c r="L26" s="204">
        <v>391</v>
      </c>
      <c r="M26" s="204">
        <v>391</v>
      </c>
      <c r="N26" s="204">
        <v>391</v>
      </c>
      <c r="O26" s="204">
        <v>391</v>
      </c>
      <c r="P26" s="204">
        <v>391</v>
      </c>
      <c r="Q26" s="204">
        <v>391</v>
      </c>
      <c r="R26" s="204">
        <v>391</v>
      </c>
      <c r="S26" s="204">
        <v>391</v>
      </c>
      <c r="T26" s="204">
        <v>391</v>
      </c>
      <c r="U26" s="204">
        <v>391</v>
      </c>
      <c r="V26" s="204">
        <v>391</v>
      </c>
      <c r="W26" s="204">
        <v>391</v>
      </c>
      <c r="X26" s="204">
        <v>391</v>
      </c>
      <c r="Y26" s="204">
        <v>391</v>
      </c>
      <c r="Z26" s="204">
        <v>391</v>
      </c>
      <c r="AA26" s="204">
        <v>391</v>
      </c>
      <c r="AB26" s="204">
        <v>391</v>
      </c>
      <c r="AC26" s="204">
        <v>391</v>
      </c>
      <c r="AD26" s="204">
        <v>391</v>
      </c>
      <c r="AE26" s="289">
        <v>391</v>
      </c>
      <c r="AF26" s="161">
        <v>391</v>
      </c>
      <c r="AG26" s="289">
        <v>391</v>
      </c>
      <c r="AH26" s="289">
        <v>391</v>
      </c>
      <c r="AI26" s="9" t="s">
        <v>35</v>
      </c>
    </row>
    <row r="27" spans="1:35" ht="12.75" customHeight="1" x14ac:dyDescent="0.2">
      <c r="A27" s="7"/>
      <c r="B27" s="155" t="s">
        <v>44</v>
      </c>
      <c r="C27" s="249">
        <v>604</v>
      </c>
      <c r="D27" s="249">
        <v>777</v>
      </c>
      <c r="E27" s="249">
        <v>777</v>
      </c>
      <c r="F27" s="162">
        <v>777</v>
      </c>
      <c r="G27" s="162">
        <v>777</v>
      </c>
      <c r="H27" s="162">
        <v>777</v>
      </c>
      <c r="I27" s="162">
        <v>777</v>
      </c>
      <c r="J27" s="162">
        <v>777</v>
      </c>
      <c r="K27" s="162">
        <v>777</v>
      </c>
      <c r="L27" s="162">
        <v>777</v>
      </c>
      <c r="M27" s="162">
        <v>777</v>
      </c>
      <c r="N27" s="162">
        <v>777</v>
      </c>
      <c r="O27" s="162">
        <v>777</v>
      </c>
      <c r="P27" s="162">
        <v>777</v>
      </c>
      <c r="Q27" s="162">
        <v>777</v>
      </c>
      <c r="R27" s="162">
        <v>777</v>
      </c>
      <c r="S27" s="162">
        <v>777</v>
      </c>
      <c r="T27" s="162">
        <v>777</v>
      </c>
      <c r="U27" s="162">
        <v>1214</v>
      </c>
      <c r="V27" s="162">
        <v>1214</v>
      </c>
      <c r="W27" s="162">
        <v>1214</v>
      </c>
      <c r="X27" s="162">
        <v>1214</v>
      </c>
      <c r="Y27" s="162">
        <v>1214</v>
      </c>
      <c r="Z27" s="162">
        <v>1214</v>
      </c>
      <c r="AA27" s="162">
        <v>1214</v>
      </c>
      <c r="AB27" s="162">
        <v>1214</v>
      </c>
      <c r="AC27" s="162">
        <v>1214</v>
      </c>
      <c r="AD27" s="194">
        <v>1214</v>
      </c>
      <c r="AE27" s="295">
        <v>1214</v>
      </c>
      <c r="AF27" s="162">
        <v>1214</v>
      </c>
      <c r="AG27" s="295">
        <v>1214</v>
      </c>
      <c r="AH27" s="295">
        <v>1214</v>
      </c>
      <c r="AI27" s="155" t="s">
        <v>44</v>
      </c>
    </row>
    <row r="28" spans="1:35" ht="12.75" customHeight="1" x14ac:dyDescent="0.2">
      <c r="A28" s="7"/>
      <c r="B28" s="9" t="s">
        <v>28</v>
      </c>
      <c r="C28" s="245" t="s">
        <v>49</v>
      </c>
      <c r="D28" s="245">
        <v>1975</v>
      </c>
      <c r="E28" s="245">
        <v>2039</v>
      </c>
      <c r="F28" s="204">
        <v>2040</v>
      </c>
      <c r="G28" s="204">
        <v>2192</v>
      </c>
      <c r="H28" s="204">
        <v>2192</v>
      </c>
      <c r="I28" s="204">
        <v>2278</v>
      </c>
      <c r="J28" s="204">
        <v>2278</v>
      </c>
      <c r="K28" s="204">
        <v>2278</v>
      </c>
      <c r="L28" s="204">
        <v>2278</v>
      </c>
      <c r="M28" s="204">
        <v>2278</v>
      </c>
      <c r="N28" s="204">
        <v>2278</v>
      </c>
      <c r="O28" s="204">
        <v>2278</v>
      </c>
      <c r="P28" s="204">
        <v>2285</v>
      </c>
      <c r="Q28" s="204">
        <v>2286</v>
      </c>
      <c r="R28" s="204">
        <v>2293</v>
      </c>
      <c r="S28" s="204">
        <v>2278</v>
      </c>
      <c r="T28" s="204">
        <v>2278</v>
      </c>
      <c r="U28" s="204">
        <v>2278</v>
      </c>
      <c r="V28" s="204">
        <v>2278</v>
      </c>
      <c r="W28" s="204">
        <v>2278</v>
      </c>
      <c r="X28" s="204">
        <v>2360</v>
      </c>
      <c r="Y28" s="204">
        <v>2362</v>
      </c>
      <c r="Z28" s="204">
        <v>2444</v>
      </c>
      <c r="AA28" s="204">
        <v>2444</v>
      </c>
      <c r="AB28" s="204">
        <v>2444</v>
      </c>
      <c r="AC28" s="204">
        <v>2483</v>
      </c>
      <c r="AD28" s="204">
        <v>2483</v>
      </c>
      <c r="AE28" s="289">
        <v>2483</v>
      </c>
      <c r="AF28" s="204">
        <v>2483</v>
      </c>
      <c r="AG28" s="289">
        <v>2483</v>
      </c>
      <c r="AH28" s="289">
        <v>2483</v>
      </c>
      <c r="AI28" s="9" t="s">
        <v>28</v>
      </c>
    </row>
    <row r="29" spans="1:35" ht="12.75" customHeight="1" x14ac:dyDescent="0.2">
      <c r="A29" s="7"/>
      <c r="B29" s="155" t="s">
        <v>45</v>
      </c>
      <c r="C29" s="249" t="s">
        <v>50</v>
      </c>
      <c r="D29" s="249" t="s">
        <v>50</v>
      </c>
      <c r="E29" s="249" t="s">
        <v>50</v>
      </c>
      <c r="F29" s="162" t="s">
        <v>50</v>
      </c>
      <c r="G29" s="162" t="s">
        <v>50</v>
      </c>
      <c r="H29" s="162" t="s">
        <v>50</v>
      </c>
      <c r="I29" s="162" t="s">
        <v>50</v>
      </c>
      <c r="J29" s="162" t="s">
        <v>50</v>
      </c>
      <c r="K29" s="162" t="s">
        <v>50</v>
      </c>
      <c r="L29" s="162">
        <v>147</v>
      </c>
      <c r="M29" s="162">
        <v>147</v>
      </c>
      <c r="N29" s="162">
        <v>147</v>
      </c>
      <c r="O29" s="162">
        <v>147</v>
      </c>
      <c r="P29" s="162">
        <v>147</v>
      </c>
      <c r="Q29" s="162">
        <v>147</v>
      </c>
      <c r="R29" s="162">
        <v>147</v>
      </c>
      <c r="S29" s="162">
        <v>147</v>
      </c>
      <c r="T29" s="162">
        <v>147</v>
      </c>
      <c r="U29" s="162">
        <v>147</v>
      </c>
      <c r="V29" s="162">
        <v>147</v>
      </c>
      <c r="W29" s="162">
        <v>147</v>
      </c>
      <c r="X29" s="162">
        <v>147</v>
      </c>
      <c r="Y29" s="162">
        <v>147</v>
      </c>
      <c r="Z29" s="162">
        <v>147</v>
      </c>
      <c r="AA29" s="162">
        <v>147</v>
      </c>
      <c r="AB29" s="162">
        <v>147</v>
      </c>
      <c r="AC29" s="162">
        <v>147</v>
      </c>
      <c r="AD29" s="162">
        <v>147</v>
      </c>
      <c r="AE29" s="295">
        <v>147</v>
      </c>
      <c r="AF29" s="162">
        <v>147</v>
      </c>
      <c r="AG29" s="295">
        <v>147</v>
      </c>
      <c r="AH29" s="295">
        <v>147</v>
      </c>
      <c r="AI29" s="155" t="s">
        <v>45</v>
      </c>
    </row>
    <row r="30" spans="1:35" ht="12.75" customHeight="1" x14ac:dyDescent="0.2">
      <c r="A30" s="7"/>
      <c r="B30" s="9" t="s">
        <v>29</v>
      </c>
      <c r="C30" s="245" t="s">
        <v>49</v>
      </c>
      <c r="D30" s="245" t="s">
        <v>49</v>
      </c>
      <c r="E30" s="245">
        <v>3694</v>
      </c>
      <c r="F30" s="204">
        <v>3899</v>
      </c>
      <c r="G30" s="204">
        <v>3899</v>
      </c>
      <c r="H30" s="204">
        <v>3535</v>
      </c>
      <c r="I30" s="204">
        <v>3535</v>
      </c>
      <c r="J30" s="204">
        <v>3546</v>
      </c>
      <c r="K30" s="204">
        <v>3546</v>
      </c>
      <c r="L30" s="204">
        <v>4629</v>
      </c>
      <c r="M30" s="204">
        <v>4629</v>
      </c>
      <c r="N30" s="204">
        <v>4423</v>
      </c>
      <c r="O30" s="204">
        <v>4423</v>
      </c>
      <c r="P30" s="204">
        <v>4423</v>
      </c>
      <c r="Q30" s="204">
        <v>4305</v>
      </c>
      <c r="R30" s="204">
        <v>4305</v>
      </c>
      <c r="S30" s="204">
        <v>4497</v>
      </c>
      <c r="T30" s="204">
        <v>4807</v>
      </c>
      <c r="U30" s="204">
        <v>4783</v>
      </c>
      <c r="V30" s="204">
        <v>3532</v>
      </c>
      <c r="W30" s="204">
        <v>3532</v>
      </c>
      <c r="X30" s="204">
        <v>3524</v>
      </c>
      <c r="Y30" s="204">
        <v>3346</v>
      </c>
      <c r="Z30" s="289">
        <v>3346</v>
      </c>
      <c r="AA30" s="204">
        <v>2951</v>
      </c>
      <c r="AB30" s="204">
        <v>2951</v>
      </c>
      <c r="AC30" s="204">
        <v>3048</v>
      </c>
      <c r="AD30" s="204">
        <v>3048</v>
      </c>
      <c r="AE30" s="289">
        <v>3047</v>
      </c>
      <c r="AF30" s="204">
        <v>3112</v>
      </c>
      <c r="AG30" s="289">
        <v>3112</v>
      </c>
      <c r="AH30" s="289">
        <v>3112</v>
      </c>
      <c r="AI30" s="9" t="s">
        <v>29</v>
      </c>
    </row>
    <row r="31" spans="1:35" ht="12.75" customHeight="1" x14ac:dyDescent="0.2">
      <c r="A31" s="7"/>
      <c r="B31" s="155" t="s">
        <v>31</v>
      </c>
      <c r="C31" s="249" t="s">
        <v>50</v>
      </c>
      <c r="D31" s="249" t="s">
        <v>50</v>
      </c>
      <c r="E31" s="249" t="s">
        <v>50</v>
      </c>
      <c r="F31" s="162" t="s">
        <v>50</v>
      </c>
      <c r="G31" s="162" t="s">
        <v>50</v>
      </c>
      <c r="H31" s="162" t="s">
        <v>50</v>
      </c>
      <c r="I31" s="162" t="s">
        <v>50</v>
      </c>
      <c r="J31" s="162" t="s">
        <v>50</v>
      </c>
      <c r="K31" s="162" t="s">
        <v>50</v>
      </c>
      <c r="L31" s="162" t="s">
        <v>50</v>
      </c>
      <c r="M31" s="162" t="s">
        <v>50</v>
      </c>
      <c r="N31" s="162" t="s">
        <v>50</v>
      </c>
      <c r="O31" s="162" t="s">
        <v>50</v>
      </c>
      <c r="P31" s="162" t="s">
        <v>50</v>
      </c>
      <c r="Q31" s="162" t="s">
        <v>50</v>
      </c>
      <c r="R31" s="162" t="s">
        <v>50</v>
      </c>
      <c r="S31" s="162" t="s">
        <v>50</v>
      </c>
      <c r="T31" s="162" t="s">
        <v>50</v>
      </c>
      <c r="U31" s="162" t="s">
        <v>50</v>
      </c>
      <c r="V31" s="162" t="s">
        <v>50</v>
      </c>
      <c r="W31" s="162" t="s">
        <v>50</v>
      </c>
      <c r="X31" s="162" t="s">
        <v>50</v>
      </c>
      <c r="Y31" s="162" t="s">
        <v>50</v>
      </c>
      <c r="Z31" s="162" t="s">
        <v>50</v>
      </c>
      <c r="AA31" s="162" t="s">
        <v>50</v>
      </c>
      <c r="AB31" s="162" t="s">
        <v>50</v>
      </c>
      <c r="AC31" s="162" t="s">
        <v>50</v>
      </c>
      <c r="AD31" s="162" t="s">
        <v>50</v>
      </c>
      <c r="AE31" s="295" t="s">
        <v>50</v>
      </c>
      <c r="AF31" s="295" t="s">
        <v>50</v>
      </c>
      <c r="AG31" s="295" t="s">
        <v>50</v>
      </c>
      <c r="AH31" s="295"/>
      <c r="AI31" s="155" t="s">
        <v>31</v>
      </c>
    </row>
    <row r="32" spans="1:35" ht="12.75" customHeight="1" x14ac:dyDescent="0.2">
      <c r="A32" s="7"/>
      <c r="B32" s="9" t="s">
        <v>30</v>
      </c>
      <c r="C32" s="245"/>
      <c r="D32" s="245"/>
      <c r="E32" s="245"/>
      <c r="F32" s="204"/>
      <c r="G32" s="204"/>
      <c r="H32" s="204">
        <v>515</v>
      </c>
      <c r="I32" s="204">
        <v>515</v>
      </c>
      <c r="J32" s="204">
        <v>515</v>
      </c>
      <c r="K32" s="204">
        <v>515</v>
      </c>
      <c r="L32" s="204">
        <v>515</v>
      </c>
      <c r="M32" s="204">
        <v>515</v>
      </c>
      <c r="N32" s="204">
        <v>515</v>
      </c>
      <c r="O32" s="204">
        <v>515</v>
      </c>
      <c r="P32" s="204">
        <v>515</v>
      </c>
      <c r="Q32" s="204">
        <v>515</v>
      </c>
      <c r="R32" s="204">
        <v>515</v>
      </c>
      <c r="S32" s="204">
        <v>515</v>
      </c>
      <c r="T32" s="204">
        <v>515</v>
      </c>
      <c r="U32" s="204">
        <v>515</v>
      </c>
      <c r="V32" s="204">
        <v>515</v>
      </c>
      <c r="W32" s="242">
        <v>515</v>
      </c>
      <c r="X32" s="204">
        <v>509</v>
      </c>
      <c r="Y32" s="204">
        <v>510</v>
      </c>
      <c r="Z32" s="204">
        <v>510</v>
      </c>
      <c r="AA32" s="204">
        <v>510</v>
      </c>
      <c r="AB32" s="204">
        <v>510</v>
      </c>
      <c r="AC32" s="204">
        <v>506</v>
      </c>
      <c r="AD32" s="204">
        <v>506</v>
      </c>
      <c r="AE32" s="289">
        <v>506</v>
      </c>
      <c r="AF32" s="204">
        <v>506</v>
      </c>
      <c r="AG32" s="289">
        <v>506</v>
      </c>
      <c r="AH32" s="289">
        <v>506</v>
      </c>
      <c r="AI32" s="9" t="s">
        <v>30</v>
      </c>
    </row>
    <row r="33" spans="1:35" ht="12.75" customHeight="1" x14ac:dyDescent="0.2">
      <c r="A33" s="7"/>
      <c r="B33" s="155" t="s">
        <v>46</v>
      </c>
      <c r="C33" s="249" t="s">
        <v>50</v>
      </c>
      <c r="D33" s="249" t="s">
        <v>50</v>
      </c>
      <c r="E33" s="249" t="s">
        <v>50</v>
      </c>
      <c r="F33" s="162" t="s">
        <v>50</v>
      </c>
      <c r="G33" s="162" t="s">
        <v>50</v>
      </c>
      <c r="H33" s="162" t="s">
        <v>50</v>
      </c>
      <c r="I33" s="162" t="s">
        <v>50</v>
      </c>
      <c r="J33" s="162" t="s">
        <v>50</v>
      </c>
      <c r="K33" s="162" t="s">
        <v>50</v>
      </c>
      <c r="L33" s="162" t="s">
        <v>50</v>
      </c>
      <c r="M33" s="162" t="s">
        <v>50</v>
      </c>
      <c r="N33" s="162" t="s">
        <v>50</v>
      </c>
      <c r="O33" s="162" t="s">
        <v>50</v>
      </c>
      <c r="P33" s="162" t="s">
        <v>50</v>
      </c>
      <c r="Q33" s="162" t="s">
        <v>50</v>
      </c>
      <c r="R33" s="162" t="s">
        <v>50</v>
      </c>
      <c r="S33" s="162" t="s">
        <v>50</v>
      </c>
      <c r="T33" s="162" t="s">
        <v>50</v>
      </c>
      <c r="U33" s="162" t="s">
        <v>50</v>
      </c>
      <c r="V33" s="162" t="s">
        <v>50</v>
      </c>
      <c r="W33" s="162" t="s">
        <v>50</v>
      </c>
      <c r="X33" s="162" t="s">
        <v>50</v>
      </c>
      <c r="Y33" s="162" t="s">
        <v>50</v>
      </c>
      <c r="Z33" s="162" t="s">
        <v>50</v>
      </c>
      <c r="AA33" s="162" t="s">
        <v>50</v>
      </c>
      <c r="AB33" s="162" t="s">
        <v>50</v>
      </c>
      <c r="AC33" s="162" t="s">
        <v>50</v>
      </c>
      <c r="AD33" s="162" t="s">
        <v>50</v>
      </c>
      <c r="AE33" s="295" t="s">
        <v>50</v>
      </c>
      <c r="AF33" s="295" t="s">
        <v>50</v>
      </c>
      <c r="AG33" s="295" t="s">
        <v>50</v>
      </c>
      <c r="AH33" s="295" t="s">
        <v>50</v>
      </c>
      <c r="AI33" s="155" t="s">
        <v>46</v>
      </c>
    </row>
    <row r="34" spans="1:35" ht="12.75" customHeight="1" x14ac:dyDescent="0.2">
      <c r="A34" s="7"/>
      <c r="B34" s="11" t="s">
        <v>47</v>
      </c>
      <c r="C34" s="253" t="s">
        <v>50</v>
      </c>
      <c r="D34" s="253" t="s">
        <v>50</v>
      </c>
      <c r="E34" s="253" t="s">
        <v>50</v>
      </c>
      <c r="F34" s="210" t="s">
        <v>50</v>
      </c>
      <c r="G34" s="210" t="s">
        <v>50</v>
      </c>
      <c r="H34" s="210" t="s">
        <v>50</v>
      </c>
      <c r="I34" s="210" t="s">
        <v>50</v>
      </c>
      <c r="J34" s="210" t="s">
        <v>50</v>
      </c>
      <c r="K34" s="210" t="s">
        <v>50</v>
      </c>
      <c r="L34" s="210" t="s">
        <v>50</v>
      </c>
      <c r="M34" s="210" t="s">
        <v>50</v>
      </c>
      <c r="N34" s="210" t="s">
        <v>50</v>
      </c>
      <c r="O34" s="210" t="s">
        <v>50</v>
      </c>
      <c r="P34" s="210" t="s">
        <v>50</v>
      </c>
      <c r="Q34" s="210" t="s">
        <v>50</v>
      </c>
      <c r="R34" s="210" t="s">
        <v>50</v>
      </c>
      <c r="S34" s="210" t="s">
        <v>50</v>
      </c>
      <c r="T34" s="210" t="s">
        <v>50</v>
      </c>
      <c r="U34" s="210" t="s">
        <v>50</v>
      </c>
      <c r="V34" s="210" t="s">
        <v>50</v>
      </c>
      <c r="W34" s="210" t="s">
        <v>50</v>
      </c>
      <c r="X34" s="210" t="s">
        <v>50</v>
      </c>
      <c r="Y34" s="210" t="s">
        <v>50</v>
      </c>
      <c r="Z34" s="210" t="s">
        <v>50</v>
      </c>
      <c r="AA34" s="210" t="s">
        <v>50</v>
      </c>
      <c r="AB34" s="210" t="s">
        <v>50</v>
      </c>
      <c r="AC34" s="210" t="s">
        <v>50</v>
      </c>
      <c r="AD34" s="210" t="s">
        <v>50</v>
      </c>
      <c r="AE34" s="210" t="s">
        <v>50</v>
      </c>
      <c r="AF34" s="210" t="s">
        <v>50</v>
      </c>
      <c r="AG34" s="210" t="s">
        <v>50</v>
      </c>
      <c r="AH34" s="210" t="s">
        <v>50</v>
      </c>
      <c r="AI34" s="11" t="s">
        <v>47</v>
      </c>
    </row>
    <row r="35" spans="1:35" ht="12.75" customHeight="1" x14ac:dyDescent="0.2">
      <c r="A35" s="7"/>
      <c r="B35" s="313" t="s">
        <v>36</v>
      </c>
      <c r="C35" s="410">
        <v>1634</v>
      </c>
      <c r="D35" s="410">
        <v>3166</v>
      </c>
      <c r="E35" s="410">
        <v>2462</v>
      </c>
      <c r="F35" s="350">
        <v>2650</v>
      </c>
      <c r="G35" s="350">
        <v>2762</v>
      </c>
      <c r="H35" s="350">
        <v>3086</v>
      </c>
      <c r="I35" s="350">
        <v>2996</v>
      </c>
      <c r="J35" s="350">
        <v>3470</v>
      </c>
      <c r="K35" s="350">
        <v>3459</v>
      </c>
      <c r="L35" s="350">
        <v>3936</v>
      </c>
      <c r="M35" s="350">
        <v>3953</v>
      </c>
      <c r="N35" s="350">
        <v>3923</v>
      </c>
      <c r="O35" s="350">
        <v>3954</v>
      </c>
      <c r="P35" s="350">
        <v>4368</v>
      </c>
      <c r="Q35" s="350">
        <v>4367</v>
      </c>
      <c r="R35" s="350">
        <v>4325</v>
      </c>
      <c r="S35" s="350">
        <v>4405</v>
      </c>
      <c r="T35" s="350">
        <v>4501</v>
      </c>
      <c r="U35" s="350">
        <v>4519</v>
      </c>
      <c r="V35" s="350">
        <v>4447</v>
      </c>
      <c r="W35" s="350">
        <v>4447</v>
      </c>
      <c r="X35" s="350">
        <v>4447</v>
      </c>
      <c r="Y35" s="350">
        <v>4446</v>
      </c>
      <c r="Z35" s="350">
        <v>4446</v>
      </c>
      <c r="AA35" s="350">
        <v>4446</v>
      </c>
      <c r="AB35" s="411">
        <v>4446</v>
      </c>
      <c r="AC35" s="411">
        <v>4446</v>
      </c>
      <c r="AD35" s="411">
        <v>4446</v>
      </c>
      <c r="AE35" s="411">
        <v>4446</v>
      </c>
      <c r="AF35" s="411">
        <v>4446</v>
      </c>
      <c r="AG35" s="411">
        <v>4446</v>
      </c>
      <c r="AH35" s="411">
        <v>4446</v>
      </c>
      <c r="AI35" s="313" t="s">
        <v>36</v>
      </c>
    </row>
    <row r="36" spans="1:35" ht="12.75" customHeight="1" x14ac:dyDescent="0.2">
      <c r="A36" s="7"/>
      <c r="B36" s="9" t="s">
        <v>91</v>
      </c>
      <c r="C36" s="245" t="s">
        <v>50</v>
      </c>
      <c r="D36" s="245" t="s">
        <v>50</v>
      </c>
      <c r="E36" s="251" t="s">
        <v>50</v>
      </c>
      <c r="F36" s="204" t="s">
        <v>50</v>
      </c>
      <c r="G36" s="204" t="s">
        <v>50</v>
      </c>
      <c r="H36" s="204" t="s">
        <v>50</v>
      </c>
      <c r="I36" s="204" t="s">
        <v>50</v>
      </c>
      <c r="J36" s="204" t="s">
        <v>50</v>
      </c>
      <c r="K36" s="204" t="s">
        <v>50</v>
      </c>
      <c r="L36" s="204" t="s">
        <v>50</v>
      </c>
      <c r="M36" s="204" t="s">
        <v>50</v>
      </c>
      <c r="N36" s="204" t="s">
        <v>50</v>
      </c>
      <c r="O36" s="204" t="s">
        <v>50</v>
      </c>
      <c r="P36" s="204" t="s">
        <v>50</v>
      </c>
      <c r="Q36" s="204" t="s">
        <v>50</v>
      </c>
      <c r="R36" s="204" t="s">
        <v>50</v>
      </c>
      <c r="S36" s="204" t="s">
        <v>50</v>
      </c>
      <c r="T36" s="204" t="s">
        <v>50</v>
      </c>
      <c r="U36" s="204" t="s">
        <v>50</v>
      </c>
      <c r="V36" s="204" t="s">
        <v>50</v>
      </c>
      <c r="W36" s="204" t="s">
        <v>50</v>
      </c>
      <c r="X36" s="204" t="s">
        <v>50</v>
      </c>
      <c r="Y36" s="204" t="s">
        <v>50</v>
      </c>
      <c r="Z36" s="204" t="s">
        <v>50</v>
      </c>
      <c r="AA36" s="204" t="s">
        <v>50</v>
      </c>
      <c r="AB36" s="204" t="s">
        <v>50</v>
      </c>
      <c r="AC36" s="204" t="s">
        <v>50</v>
      </c>
      <c r="AD36" s="204" t="s">
        <v>50</v>
      </c>
      <c r="AE36" s="289" t="s">
        <v>50</v>
      </c>
      <c r="AF36" s="289" t="s">
        <v>50</v>
      </c>
      <c r="AG36" s="289" t="s">
        <v>50</v>
      </c>
      <c r="AH36" s="289" t="s">
        <v>50</v>
      </c>
      <c r="AI36" s="9" t="s">
        <v>91</v>
      </c>
    </row>
    <row r="37" spans="1:35" ht="12.75" customHeight="1" x14ac:dyDescent="0.2">
      <c r="A37" s="7"/>
      <c r="B37" s="155" t="s">
        <v>0</v>
      </c>
      <c r="C37" s="249"/>
      <c r="D37" s="249"/>
      <c r="E37" s="249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>
        <v>144</v>
      </c>
      <c r="R37" s="295">
        <v>144</v>
      </c>
      <c r="S37" s="295">
        <v>144</v>
      </c>
      <c r="T37" s="295">
        <v>155</v>
      </c>
      <c r="U37" s="295">
        <v>155</v>
      </c>
      <c r="V37" s="295">
        <v>155</v>
      </c>
      <c r="W37" s="295">
        <v>155</v>
      </c>
      <c r="X37" s="295">
        <v>143.6</v>
      </c>
      <c r="Y37" s="295">
        <v>143.69999999999999</v>
      </c>
      <c r="Z37" s="295">
        <v>143.6</v>
      </c>
      <c r="AA37" s="295">
        <v>143.6</v>
      </c>
      <c r="AB37" s="295">
        <v>144</v>
      </c>
      <c r="AC37" s="295">
        <v>144</v>
      </c>
      <c r="AD37" s="295">
        <v>144</v>
      </c>
      <c r="AE37" s="295">
        <v>144</v>
      </c>
      <c r="AF37" s="295">
        <v>144</v>
      </c>
      <c r="AG37" s="295">
        <v>144</v>
      </c>
      <c r="AH37" s="295">
        <v>144</v>
      </c>
      <c r="AI37" s="155" t="s">
        <v>0</v>
      </c>
    </row>
    <row r="38" spans="1:35" ht="12.75" customHeight="1" x14ac:dyDescent="0.2">
      <c r="A38" s="7"/>
      <c r="B38" s="9" t="s">
        <v>93</v>
      </c>
      <c r="C38" s="245" t="s">
        <v>50</v>
      </c>
      <c r="D38" s="245" t="s">
        <v>50</v>
      </c>
      <c r="E38" s="251" t="s">
        <v>50</v>
      </c>
      <c r="F38" s="289" t="s">
        <v>50</v>
      </c>
      <c r="G38" s="289" t="s">
        <v>50</v>
      </c>
      <c r="H38" s="289" t="s">
        <v>50</v>
      </c>
      <c r="I38" s="289" t="s">
        <v>50</v>
      </c>
      <c r="J38" s="289" t="s">
        <v>50</v>
      </c>
      <c r="K38" s="289" t="s">
        <v>50</v>
      </c>
      <c r="L38" s="289" t="s">
        <v>50</v>
      </c>
      <c r="M38" s="289" t="s">
        <v>50</v>
      </c>
      <c r="N38" s="289" t="s">
        <v>50</v>
      </c>
      <c r="O38" s="289" t="s">
        <v>50</v>
      </c>
      <c r="P38" s="289" t="s">
        <v>50</v>
      </c>
      <c r="Q38" s="289" t="s">
        <v>50</v>
      </c>
      <c r="R38" s="289" t="s">
        <v>50</v>
      </c>
      <c r="S38" s="289" t="s">
        <v>50</v>
      </c>
      <c r="T38" s="289" t="s">
        <v>50</v>
      </c>
      <c r="U38" s="289" t="s">
        <v>50</v>
      </c>
      <c r="V38" s="289" t="s">
        <v>50</v>
      </c>
      <c r="W38" s="289" t="s">
        <v>50</v>
      </c>
      <c r="X38" s="289" t="s">
        <v>50</v>
      </c>
      <c r="Y38" s="289" t="s">
        <v>50</v>
      </c>
      <c r="Z38" s="161" t="s">
        <v>50</v>
      </c>
      <c r="AA38" s="161" t="s">
        <v>50</v>
      </c>
      <c r="AB38" s="161" t="s">
        <v>50</v>
      </c>
      <c r="AC38" s="161" t="s">
        <v>50</v>
      </c>
      <c r="AD38" s="161" t="s">
        <v>50</v>
      </c>
      <c r="AE38" s="161" t="s">
        <v>50</v>
      </c>
      <c r="AF38" s="161" t="s">
        <v>50</v>
      </c>
      <c r="AG38" s="161" t="s">
        <v>50</v>
      </c>
      <c r="AH38" s="161" t="s">
        <v>50</v>
      </c>
      <c r="AI38" s="9" t="s">
        <v>93</v>
      </c>
    </row>
    <row r="39" spans="1:35" ht="12.75" customHeight="1" x14ac:dyDescent="0.2">
      <c r="A39" s="7"/>
      <c r="B39" s="155" t="s">
        <v>92</v>
      </c>
      <c r="C39" s="249"/>
      <c r="D39" s="249"/>
      <c r="E39" s="249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>
        <v>374</v>
      </c>
      <c r="V39" s="295">
        <v>374</v>
      </c>
      <c r="W39" s="295">
        <v>374</v>
      </c>
      <c r="X39" s="295">
        <v>374</v>
      </c>
      <c r="Y39" s="295">
        <v>374</v>
      </c>
      <c r="Z39" s="295">
        <v>434</v>
      </c>
      <c r="AA39" s="295">
        <v>434</v>
      </c>
      <c r="AB39" s="295">
        <v>434</v>
      </c>
      <c r="AC39" s="295">
        <v>279</v>
      </c>
      <c r="AD39" s="295">
        <v>279</v>
      </c>
      <c r="AE39" s="295">
        <v>279</v>
      </c>
      <c r="AF39" s="295">
        <v>280</v>
      </c>
      <c r="AG39" s="295">
        <v>280</v>
      </c>
      <c r="AH39" s="295">
        <v>280</v>
      </c>
      <c r="AI39" s="155" t="s">
        <v>92</v>
      </c>
    </row>
    <row r="40" spans="1:35" ht="12.75" customHeight="1" x14ac:dyDescent="0.2">
      <c r="A40" s="7"/>
      <c r="B40" s="11" t="s">
        <v>32</v>
      </c>
      <c r="C40" s="253" t="s">
        <v>49</v>
      </c>
      <c r="D40" s="253" t="s">
        <v>49</v>
      </c>
      <c r="E40" s="253" t="s">
        <v>49</v>
      </c>
      <c r="F40" s="210"/>
      <c r="G40" s="210">
        <v>1947</v>
      </c>
      <c r="H40" s="210">
        <v>1126</v>
      </c>
      <c r="I40" s="210">
        <v>1126</v>
      </c>
      <c r="J40" s="210">
        <v>1126</v>
      </c>
      <c r="K40" s="210">
        <v>2112</v>
      </c>
      <c r="L40" s="210">
        <v>2112</v>
      </c>
      <c r="M40" s="210">
        <v>2112</v>
      </c>
      <c r="N40" s="210">
        <v>2112</v>
      </c>
      <c r="O40" s="210">
        <v>2112</v>
      </c>
      <c r="P40" s="210">
        <v>2112</v>
      </c>
      <c r="Q40" s="210">
        <v>2112</v>
      </c>
      <c r="R40" s="210">
        <v>2112</v>
      </c>
      <c r="S40" s="210">
        <v>2112</v>
      </c>
      <c r="T40" s="210">
        <v>3065</v>
      </c>
      <c r="U40" s="210">
        <v>3065</v>
      </c>
      <c r="V40" s="210">
        <v>3065</v>
      </c>
      <c r="W40" s="210">
        <v>3065</v>
      </c>
      <c r="X40" s="210">
        <v>3065</v>
      </c>
      <c r="Y40" s="210">
        <v>3038</v>
      </c>
      <c r="Z40" s="210">
        <v>3038</v>
      </c>
      <c r="AA40" s="210">
        <v>3038</v>
      </c>
      <c r="AB40" s="210">
        <v>3053</v>
      </c>
      <c r="AC40" s="210">
        <v>3053</v>
      </c>
      <c r="AD40" s="210">
        <v>3053</v>
      </c>
      <c r="AE40" s="210">
        <v>3053</v>
      </c>
      <c r="AF40" s="210">
        <v>3052</v>
      </c>
      <c r="AG40" s="210">
        <v>3060</v>
      </c>
      <c r="AH40" s="210">
        <v>3060</v>
      </c>
      <c r="AI40" s="11" t="s">
        <v>32</v>
      </c>
    </row>
    <row r="41" spans="1:35" ht="12.75" customHeight="1" x14ac:dyDescent="0.2">
      <c r="A41" s="7"/>
      <c r="B41" s="155" t="s">
        <v>18</v>
      </c>
      <c r="C41" s="249" t="s">
        <v>50</v>
      </c>
      <c r="D41" s="249" t="s">
        <v>50</v>
      </c>
      <c r="E41" s="249" t="s">
        <v>50</v>
      </c>
      <c r="F41" s="295"/>
      <c r="G41" s="295"/>
      <c r="H41" s="295" t="s">
        <v>50</v>
      </c>
      <c r="I41" s="295" t="s">
        <v>50</v>
      </c>
      <c r="J41" s="295" t="s">
        <v>50</v>
      </c>
      <c r="K41" s="295" t="s">
        <v>50</v>
      </c>
      <c r="L41" s="295" t="s">
        <v>50</v>
      </c>
      <c r="M41" s="295" t="s">
        <v>50</v>
      </c>
      <c r="N41" s="295" t="s">
        <v>50</v>
      </c>
      <c r="O41" s="295" t="s">
        <v>50</v>
      </c>
      <c r="P41" s="295" t="s">
        <v>50</v>
      </c>
      <c r="Q41" s="295" t="s">
        <v>50</v>
      </c>
      <c r="R41" s="295" t="s">
        <v>50</v>
      </c>
      <c r="S41" s="295" t="s">
        <v>50</v>
      </c>
      <c r="T41" s="295" t="s">
        <v>50</v>
      </c>
      <c r="U41" s="295" t="s">
        <v>50</v>
      </c>
      <c r="V41" s="295" t="s">
        <v>50</v>
      </c>
      <c r="W41" s="295" t="s">
        <v>50</v>
      </c>
      <c r="X41" s="295" t="s">
        <v>50</v>
      </c>
      <c r="Y41" s="295" t="s">
        <v>50</v>
      </c>
      <c r="Z41" s="295" t="s">
        <v>50</v>
      </c>
      <c r="AA41" s="295" t="s">
        <v>50</v>
      </c>
      <c r="AB41" s="295" t="s">
        <v>50</v>
      </c>
      <c r="AC41" s="295" t="s">
        <v>50</v>
      </c>
      <c r="AD41" s="295" t="s">
        <v>50</v>
      </c>
      <c r="AE41" s="295" t="s">
        <v>50</v>
      </c>
      <c r="AF41" s="295" t="s">
        <v>50</v>
      </c>
      <c r="AG41" s="295" t="s">
        <v>50</v>
      </c>
      <c r="AH41" s="229" t="s">
        <v>50</v>
      </c>
      <c r="AI41" s="195" t="s">
        <v>18</v>
      </c>
    </row>
    <row r="42" spans="1:35" ht="12.75" customHeight="1" x14ac:dyDescent="0.2">
      <c r="A42" s="7"/>
      <c r="B42" s="9" t="s">
        <v>48</v>
      </c>
      <c r="C42" s="245" t="s">
        <v>49</v>
      </c>
      <c r="D42" s="245" t="s">
        <v>49</v>
      </c>
      <c r="E42" s="245"/>
      <c r="F42" s="289"/>
      <c r="G42" s="289"/>
      <c r="H42" s="289"/>
      <c r="I42" s="289"/>
      <c r="J42" s="289">
        <v>3701</v>
      </c>
      <c r="K42" s="289">
        <v>4249</v>
      </c>
      <c r="L42" s="289">
        <v>4553</v>
      </c>
      <c r="M42" s="289">
        <v>5747</v>
      </c>
      <c r="N42" s="289">
        <v>6827</v>
      </c>
      <c r="O42" s="289">
        <v>7908</v>
      </c>
      <c r="P42" s="289">
        <v>879</v>
      </c>
      <c r="Q42" s="289">
        <v>879</v>
      </c>
      <c r="R42" s="289">
        <v>1099</v>
      </c>
      <c r="S42" s="289">
        <v>1189</v>
      </c>
      <c r="T42" s="289">
        <v>1189</v>
      </c>
      <c r="U42" s="289">
        <v>1189</v>
      </c>
      <c r="V42" s="289">
        <v>1189</v>
      </c>
      <c r="W42" s="289">
        <v>1180</v>
      </c>
      <c r="X42" s="289">
        <v>1189</v>
      </c>
      <c r="Y42" s="289">
        <v>1260</v>
      </c>
      <c r="Z42" s="289">
        <v>1244</v>
      </c>
      <c r="AA42" s="289">
        <v>1245</v>
      </c>
      <c r="AB42" s="289">
        <v>1245</v>
      </c>
      <c r="AC42" s="289">
        <v>1245</v>
      </c>
      <c r="AD42" s="289">
        <v>1245</v>
      </c>
      <c r="AE42" s="289">
        <v>1288</v>
      </c>
      <c r="AF42" s="289">
        <v>1288</v>
      </c>
      <c r="AG42" s="289">
        <v>1288</v>
      </c>
      <c r="AH42" s="289">
        <v>1288</v>
      </c>
      <c r="AI42" s="9" t="s">
        <v>48</v>
      </c>
    </row>
    <row r="43" spans="1:35" ht="12.75" customHeight="1" x14ac:dyDescent="0.2">
      <c r="A43" s="7"/>
      <c r="B43" s="163" t="s">
        <v>19</v>
      </c>
      <c r="C43" s="252" t="s">
        <v>49</v>
      </c>
      <c r="D43" s="252" t="s">
        <v>49</v>
      </c>
      <c r="E43" s="252">
        <v>239</v>
      </c>
      <c r="F43" s="297">
        <v>239</v>
      </c>
      <c r="G43" s="297">
        <v>239</v>
      </c>
      <c r="H43" s="297">
        <v>239</v>
      </c>
      <c r="I43" s="297">
        <v>239</v>
      </c>
      <c r="J43" s="297">
        <v>239</v>
      </c>
      <c r="K43" s="297">
        <v>239</v>
      </c>
      <c r="L43" s="297">
        <v>109</v>
      </c>
      <c r="M43" s="297">
        <v>109</v>
      </c>
      <c r="N43" s="297">
        <v>109</v>
      </c>
      <c r="O43" s="297">
        <v>109</v>
      </c>
      <c r="P43" s="297">
        <v>109</v>
      </c>
      <c r="Q43" s="297">
        <v>109</v>
      </c>
      <c r="R43" s="297">
        <v>109</v>
      </c>
      <c r="S43" s="297">
        <v>109</v>
      </c>
      <c r="T43" s="297">
        <v>109</v>
      </c>
      <c r="U43" s="297">
        <v>109</v>
      </c>
      <c r="V43" s="297">
        <v>109</v>
      </c>
      <c r="W43" s="297">
        <v>109</v>
      </c>
      <c r="X43" s="297">
        <v>109</v>
      </c>
      <c r="Y43" s="297">
        <v>109</v>
      </c>
      <c r="Z43" s="297">
        <v>109</v>
      </c>
      <c r="AA43" s="297">
        <v>109</v>
      </c>
      <c r="AB43" s="297">
        <v>109</v>
      </c>
      <c r="AC43" s="297">
        <v>109</v>
      </c>
      <c r="AD43" s="297">
        <v>109</v>
      </c>
      <c r="AE43" s="297">
        <v>109</v>
      </c>
      <c r="AF43" s="297">
        <v>109</v>
      </c>
      <c r="AG43" s="297">
        <v>109</v>
      </c>
      <c r="AH43" s="297">
        <v>109</v>
      </c>
      <c r="AI43" s="163" t="s">
        <v>19</v>
      </c>
    </row>
    <row r="44" spans="1:35" ht="12.75" customHeight="1" x14ac:dyDescent="0.2">
      <c r="A44" s="7"/>
      <c r="B44" s="512" t="s">
        <v>120</v>
      </c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</row>
    <row r="45" spans="1:35" ht="15" customHeight="1" x14ac:dyDescent="0.2">
      <c r="B45" s="512" t="s">
        <v>148</v>
      </c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150"/>
      <c r="R45" s="16"/>
      <c r="S45" s="16"/>
      <c r="T45" s="16"/>
      <c r="U45" s="16"/>
      <c r="V45" s="16"/>
      <c r="W45" s="153"/>
      <c r="X45" s="153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2.75" customHeight="1" x14ac:dyDescent="0.2">
      <c r="B46" s="2" t="s">
        <v>75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6"/>
      <c r="V46" s="16"/>
      <c r="W46" s="153"/>
      <c r="X46" s="153"/>
      <c r="Y46" s="16"/>
      <c r="Z46" s="153"/>
      <c r="AA46" s="16"/>
      <c r="AB46" s="16"/>
      <c r="AC46" s="16"/>
      <c r="AD46" s="16"/>
      <c r="AE46" s="16"/>
      <c r="AF46" s="16"/>
      <c r="AG46" s="16"/>
      <c r="AH46" s="16"/>
      <c r="AI46" s="153"/>
    </row>
    <row r="47" spans="1:35" ht="12.75" customHeight="1" x14ac:dyDescent="0.2">
      <c r="B47" s="138" t="s">
        <v>142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407"/>
      <c r="Z47" s="407"/>
      <c r="AA47" s="150"/>
      <c r="AB47" s="150"/>
      <c r="AC47" s="150"/>
      <c r="AD47" s="150"/>
      <c r="AE47" s="150"/>
      <c r="AF47" s="150"/>
      <c r="AG47" s="407"/>
      <c r="AH47" s="409"/>
      <c r="AI47" s="407"/>
    </row>
    <row r="48" spans="1:35" ht="12.75" customHeight="1" x14ac:dyDescent="0.2">
      <c r="B48" s="138" t="s">
        <v>95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50"/>
      <c r="X48" s="150"/>
      <c r="Y48" s="137"/>
      <c r="Z48" s="193"/>
      <c r="AA48" s="199"/>
      <c r="AB48" s="256"/>
      <c r="AC48" s="266"/>
      <c r="AD48" s="266"/>
      <c r="AE48" s="308"/>
      <c r="AF48" s="278"/>
      <c r="AG48" s="323"/>
      <c r="AH48" s="408"/>
      <c r="AI48" s="137"/>
    </row>
  </sheetData>
  <mergeCells count="5">
    <mergeCell ref="B1:C1"/>
    <mergeCell ref="B45:P45"/>
    <mergeCell ref="B2:AI2"/>
    <mergeCell ref="B3:AI3"/>
    <mergeCell ref="B44:AI44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T2.5</vt:lpstr>
      <vt:lpstr>motorway</vt:lpstr>
      <vt:lpstr>length_road</vt:lpstr>
      <vt:lpstr>rail_length</vt:lpstr>
      <vt:lpstr>rail_hs</vt:lpstr>
      <vt:lpstr>rail_gauge</vt:lpstr>
      <vt:lpstr>airports</vt:lpstr>
      <vt:lpstr>length_iww</vt:lpstr>
      <vt:lpstr>length_oil</vt:lpstr>
      <vt:lpstr>T2.5!A</vt:lpstr>
      <vt:lpstr>airports!Print_Area</vt:lpstr>
      <vt:lpstr>length_iww!Print_Area</vt:lpstr>
      <vt:lpstr>length_oil!Print_Area</vt:lpstr>
      <vt:lpstr>motorway!Print_Area</vt:lpstr>
      <vt:lpstr>rail_gauge!Print_Area</vt:lpstr>
      <vt:lpstr>rail_hs!Print_Area</vt:lpstr>
      <vt:lpstr>rail_length!Print_Area</vt:lpstr>
      <vt:lpstr>T2.5!Print_Area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2015-04-09T10:06:30Z</cp:lastPrinted>
  <dcterms:created xsi:type="dcterms:W3CDTF">2003-09-05T14:33:05Z</dcterms:created>
  <dcterms:modified xsi:type="dcterms:W3CDTF">2021-09-13T11:17:26Z</dcterms:modified>
</cp:coreProperties>
</file>