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35" windowWidth="18765" windowHeight="11580" tabRatio="882" activeTab="8"/>
  </bookViews>
  <sheets>
    <sheet name="T2.5" sheetId="1" r:id="rId1"/>
    <sheet name="motorway" sheetId="2" r:id="rId2"/>
    <sheet name="length_road" sheetId="3" r:id="rId3"/>
    <sheet name="rail_length" sheetId="4" r:id="rId4"/>
    <sheet name="rail_hs" sheetId="5" r:id="rId5"/>
    <sheet name="rail_gauge" sheetId="6" r:id="rId6"/>
    <sheet name="airports" sheetId="7" r:id="rId7"/>
    <sheet name="length_iww" sheetId="8" r:id="rId8"/>
    <sheet name="length_oil" sheetId="9" r:id="rId9"/>
  </sheets>
  <definedNames>
    <definedName name="A" localSheetId="0">'T2.5'!$A$65497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6">'airports'!$B$1:$I$43</definedName>
    <definedName name="_xlnm.Print_Area" localSheetId="7">'length_iww'!$B$1:$S$44</definedName>
    <definedName name="_xlnm.Print_Area" localSheetId="8">'length_oil'!$B$1:$W$46</definedName>
    <definedName name="_xlnm.Print_Area" localSheetId="2">'length_road'!#REF!</definedName>
    <definedName name="_xlnm.Print_Area" localSheetId="1">'motorway'!$B$1:$W$48</definedName>
    <definedName name="_xlnm.Print_Area" localSheetId="5">'rail_gauge'!$B$1:$G$48</definedName>
    <definedName name="_xlnm.Print_Area" localSheetId="4">'rail_hs'!$B$1:$L$67</definedName>
    <definedName name="_xlnm.Print_Area" localSheetId="3">'rail_length'!$B$1:$AC$44</definedName>
    <definedName name="_xlnm.Print_Area" localSheetId="0">'T2.5'!$A$1:$E$23</definedName>
    <definedName name="Z_534C28F4_E90D_11D3_A4B3_0050041AE0D6_.wvu.PrintArea" localSheetId="2" hidden="1">'length_road'!#REF!</definedName>
  </definedNames>
  <calcPr fullCalcOnLoad="1"/>
</workbook>
</file>

<file path=xl/sharedStrings.xml><?xml version="1.0" encoding="utf-8"?>
<sst xmlns="http://schemas.openxmlformats.org/spreadsheetml/2006/main" count="1797" uniqueCount="163">
  <si>
    <t>Notes:</t>
  </si>
  <si>
    <t>MK</t>
  </si>
  <si>
    <t>km at end of year</t>
  </si>
  <si>
    <t>High-speed lines currently under construction</t>
  </si>
  <si>
    <t xml:space="preserve"> 50   Hz</t>
  </si>
  <si>
    <t>km</t>
  </si>
  <si>
    <t>LINE</t>
  </si>
  <si>
    <t>Length</t>
  </si>
  <si>
    <t xml:space="preserve">km </t>
  </si>
  <si>
    <t>Railways : Main Railway Gauge</t>
  </si>
  <si>
    <t>and Electric Current Used</t>
  </si>
  <si>
    <t>Track Gauge</t>
  </si>
  <si>
    <t>Electric current</t>
  </si>
  <si>
    <t>mm</t>
  </si>
  <si>
    <t>dc volts</t>
  </si>
  <si>
    <t>ac volts</t>
  </si>
  <si>
    <t>800-1200</t>
  </si>
  <si>
    <t>(contact rail)</t>
  </si>
  <si>
    <t>ES*</t>
  </si>
  <si>
    <t>750-850</t>
  </si>
  <si>
    <t>(N-IRL)</t>
  </si>
  <si>
    <t xml:space="preserve">Road : Length of Motorways  </t>
  </si>
  <si>
    <t>(at end of year)</t>
  </si>
  <si>
    <t>Road : Length of Road Network</t>
  </si>
  <si>
    <t xml:space="preserve"> Pipelines</t>
  </si>
  <si>
    <t>Length of oil pipelines</t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</si>
  <si>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</si>
  <si>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</si>
  <si>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</si>
  <si>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</si>
  <si>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</si>
  <si>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</si>
  <si>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</si>
  <si>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</si>
  <si>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</si>
  <si>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</si>
  <si>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</si>
  <si>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</si>
  <si>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</si>
  <si>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</si>
  <si>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</si>
  <si>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</si>
  <si>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</si>
  <si>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</si>
  <si>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</si>
  <si>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</si>
  <si>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</si>
  <si>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</si>
  <si>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</si>
  <si>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</si>
  <si>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</si>
  <si>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</si>
  <si>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</si>
  <si>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</si>
  <si>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</si>
  <si>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</si>
  <si>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</si>
  <si>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</si>
  <si>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%</t>
  </si>
  <si>
    <t>-</t>
  </si>
  <si>
    <t>HR</t>
  </si>
  <si>
    <t>Railways : High Speed Rail Network</t>
  </si>
  <si>
    <t xml:space="preserve">- </t>
  </si>
  <si>
    <t>Air : Number of Airports</t>
  </si>
  <si>
    <t>more than 10 million</t>
  </si>
  <si>
    <t>5 to 10  million</t>
  </si>
  <si>
    <t>1 to 5 million</t>
  </si>
  <si>
    <t>100,000 to 500,000</t>
  </si>
  <si>
    <t>15,000 to 100,000</t>
  </si>
  <si>
    <t xml:space="preserve"> 16.7Hz</t>
  </si>
  <si>
    <t xml:space="preserve"> 50  HZ</t>
  </si>
  <si>
    <t>500,000 to 1 million</t>
  </si>
  <si>
    <t>Infrastructure</t>
  </si>
  <si>
    <t>Motorways</t>
  </si>
  <si>
    <t>EUROPEAN UNION</t>
  </si>
  <si>
    <t>European Commission</t>
  </si>
  <si>
    <r>
      <t xml:space="preserve">in co-operation with </t>
    </r>
    <r>
      <rPr>
        <b/>
        <sz val="10"/>
        <rFont val="Arial"/>
        <family val="2"/>
      </rPr>
      <t>Eurostat</t>
    </r>
  </si>
  <si>
    <t xml:space="preserve">Inland Waterways : Length In Use  </t>
  </si>
  <si>
    <t xml:space="preserve">Navigable canals, rivers and lakes regularly used for transport </t>
  </si>
  <si>
    <t>Road: Length of Road Network</t>
  </si>
  <si>
    <t>Railways : Length of Lines in Use</t>
  </si>
  <si>
    <t>EU</t>
  </si>
  <si>
    <t>Length of lines</t>
  </si>
  <si>
    <t>Main or national roads</t>
  </si>
  <si>
    <t>Secondary or regional roads</t>
  </si>
  <si>
    <t>Air: Number of Airports by Number of Passengers Carried</t>
  </si>
  <si>
    <t>of which: Electrified</t>
  </si>
  <si>
    <r>
      <t>Notes:</t>
    </r>
  </si>
  <si>
    <t xml:space="preserve">"Other roads" sometimes includes roads without a hard surface. </t>
  </si>
  <si>
    <t>Road: Length of Motorways</t>
  </si>
  <si>
    <t>Railways: Length of Lines in Use</t>
  </si>
  <si>
    <t>Railways: High Speed Rail Network</t>
  </si>
  <si>
    <t>Railways: Main Railway Gauge and Electric Current Used</t>
  </si>
  <si>
    <t xml:space="preserve">Inland Waterways: Length in Use </t>
  </si>
  <si>
    <t>Pipelines: Length of Oil Pipelines</t>
  </si>
  <si>
    <t>Start of operation</t>
  </si>
  <si>
    <r>
      <t>UK</t>
    </r>
    <r>
      <rPr>
        <sz val="8"/>
        <rFont val="Arial"/>
        <family val="2"/>
      </rPr>
      <t>: (N-IRL): Northern Ireland</t>
    </r>
  </si>
  <si>
    <r>
      <t xml:space="preserve">*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>: new lines have a gauge of 1435 mm and an electric current of 25000 volts, 50Hz</t>
    </r>
  </si>
  <si>
    <r>
      <t>Notes</t>
    </r>
    <r>
      <rPr>
        <sz val="8"/>
        <rFont val="Arial"/>
        <family val="2"/>
      </rPr>
      <t xml:space="preserve">: 1435 mm = standard gauge 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</si>
  <si>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Union Internationale des Chemins de Fer, railway companies</t>
    </r>
  </si>
  <si>
    <t xml:space="preserve">-  </t>
  </si>
  <si>
    <t>Including oil pipelines under the sea.</t>
  </si>
  <si>
    <r>
      <t>CY</t>
    </r>
    <r>
      <rPr>
        <sz val="8"/>
        <rFont val="Arial"/>
        <family val="2"/>
      </rPr>
      <t>: from 2006: without urban M-ways</t>
    </r>
  </si>
  <si>
    <r>
      <t>NL:</t>
    </r>
    <r>
      <rPr>
        <sz val="8"/>
        <rFont val="Arial"/>
        <family val="2"/>
      </rPr>
      <t xml:space="preserve"> all national roads ('Rijkswegen') with dual carriageways</t>
    </r>
  </si>
  <si>
    <r>
      <t>ES</t>
    </r>
    <r>
      <rPr>
        <sz val="8"/>
        <rFont val="Arial"/>
        <family val="2"/>
      </rPr>
      <t>: 'autopistas de peaje' and 'autovías y autopistas libres'</t>
    </r>
  </si>
  <si>
    <t>Directorate-General for Mobility and Transport</t>
  </si>
  <si>
    <t>Chapter 2.5  :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</si>
  <si>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</si>
  <si>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</si>
  <si>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</si>
  <si>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</si>
  <si>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</si>
  <si>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</si>
  <si>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</si>
  <si>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</si>
  <si>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r>
      <t>Notes</t>
    </r>
    <r>
      <rPr>
        <sz val="8"/>
        <rFont val="Arial"/>
        <family val="2"/>
      </rPr>
      <t xml:space="preserve">: </t>
    </r>
  </si>
  <si>
    <t>TRANSPORT IN FIGURES</t>
  </si>
  <si>
    <t>Part 2  :  TRANSPORT</t>
  </si>
  <si>
    <r>
      <t>Note</t>
    </r>
    <r>
      <rPr>
        <sz val="8"/>
        <rFont val="Arial"/>
        <family val="2"/>
      </rPr>
      <t>: Length of lines or of sections of lines on which trains can go faster than 250 km/h at some point during the journey.</t>
    </r>
  </si>
  <si>
    <r>
      <t>Note</t>
    </r>
    <r>
      <rPr>
        <sz val="8"/>
        <rFont val="Arial"/>
        <family val="2"/>
      </rPr>
      <t>: The length indicated above is the length of the line under construction and not necessarily the distance between the places named.</t>
    </r>
  </si>
  <si>
    <r>
      <t>Source</t>
    </r>
    <r>
      <rPr>
        <sz val="8"/>
        <rFont val="Arial"/>
        <family val="2"/>
      </rPr>
      <t xml:space="preserve">: Eurostat, national statistics, estimates </t>
    </r>
    <r>
      <rPr>
        <i/>
        <sz val="8"/>
        <rFont val="Arial"/>
        <family val="2"/>
      </rPr>
      <t>(in italics)</t>
    </r>
  </si>
  <si>
    <t>ME</t>
  </si>
  <si>
    <t>RS</t>
  </si>
  <si>
    <t>AL</t>
  </si>
  <si>
    <t>EU-28</t>
  </si>
  <si>
    <r>
      <t>Source</t>
    </r>
    <r>
      <rPr>
        <sz val="8"/>
        <rFont val="Arial"/>
        <family val="2"/>
      </rPr>
      <t>: Eurostat, International Road Federation, United Nations Economic Commission for Europe, ASECAP statistical bulletin, national statistics, estimates (</t>
    </r>
    <r>
      <rPr>
        <i/>
        <sz val="8"/>
        <rFont val="Arial"/>
        <family val="2"/>
      </rPr>
      <t>in italics</t>
    </r>
    <r>
      <rPr>
        <sz val="8"/>
        <rFont val="Arial"/>
        <family val="2"/>
      </rPr>
      <t xml:space="preserve">) </t>
    </r>
  </si>
  <si>
    <r>
      <t>Source</t>
    </r>
    <r>
      <rPr>
        <sz val="8"/>
        <rFont val="Arial"/>
        <family val="2"/>
      </rPr>
      <t xml:space="preserve">:  Eurostat, International Road Federation, national statistics, estimates </t>
    </r>
    <r>
      <rPr>
        <i/>
        <sz val="8"/>
        <rFont val="Arial"/>
        <family val="2"/>
      </rPr>
      <t>(in italics</t>
    </r>
    <r>
      <rPr>
        <sz val="8"/>
        <rFont val="Arial"/>
        <family val="2"/>
      </rPr>
      <t>)</t>
    </r>
  </si>
  <si>
    <r>
      <t>Source</t>
    </r>
    <r>
      <rPr>
        <sz val="8"/>
        <rFont val="Arial"/>
        <family val="2"/>
      </rPr>
      <t>: Eurostat, Airports Council International Europe, national sources</t>
    </r>
  </si>
  <si>
    <t xml:space="preserve">Please note that for some countries the values refer only to the main infrastructure managers which are members of the UIC. </t>
  </si>
  <si>
    <r>
      <t>Source</t>
    </r>
    <r>
      <rPr>
        <sz val="8"/>
        <rFont val="Arial"/>
        <family val="2"/>
      </rPr>
      <t>: Union Internationale des Chemins de Fer, IRG-Rail annual reports (</t>
    </r>
    <r>
      <rPr>
        <b/>
        <sz val="8"/>
        <rFont val="Arial"/>
        <family val="2"/>
      </rPr>
      <t>BE, DE, FR, UK, NO</t>
    </r>
    <r>
      <rPr>
        <sz val="8"/>
        <rFont val="Arial"/>
        <family val="2"/>
      </rPr>
      <t>), national statistics, Eurostat, estimates (in italics).</t>
    </r>
  </si>
  <si>
    <r>
      <t>DE</t>
    </r>
    <r>
      <rPr>
        <sz val="8"/>
        <rFont val="Arial"/>
        <family val="2"/>
      </rPr>
      <t xml:space="preserve">: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 = 2 300, 1980 = 2 302, 1990 = 2 319 </t>
    </r>
  </si>
  <si>
    <r>
      <t>DE:</t>
    </r>
    <r>
      <rPr>
        <sz val="8"/>
        <rFont val="Arial"/>
        <family val="2"/>
      </rPr>
      <t xml:space="preserve"> Crude oil pipelines only;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 : 1970 = </t>
    </r>
    <r>
      <rPr>
        <i/>
        <sz val="8"/>
        <rFont val="Arial"/>
        <family val="2"/>
      </rPr>
      <t>1 300</t>
    </r>
    <r>
      <rPr>
        <sz val="8"/>
        <rFont val="Arial"/>
        <family val="2"/>
      </rPr>
      <t>, 1980 = 1 301, 1990 = 1 323 km</t>
    </r>
  </si>
  <si>
    <r>
      <t>CS:</t>
    </r>
    <r>
      <rPr>
        <sz val="8"/>
        <rFont val="Arial"/>
        <family val="2"/>
      </rPr>
      <t xml:space="preserve"> 1970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1980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1990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1991 = </t>
    </r>
    <r>
      <rPr>
        <i/>
        <sz val="8"/>
        <rFont val="Arial"/>
        <family val="2"/>
      </rPr>
      <t>1 090</t>
    </r>
    <r>
      <rPr>
        <sz val="8"/>
        <rFont val="Arial"/>
        <family val="2"/>
      </rPr>
      <t xml:space="preserve">,  1992 = </t>
    </r>
    <r>
      <rPr>
        <i/>
        <sz val="8"/>
        <rFont val="Arial"/>
        <family val="2"/>
      </rPr>
      <t>1 083 km</t>
    </r>
  </si>
  <si>
    <r>
      <t xml:space="preserve">DE: </t>
    </r>
    <r>
      <rPr>
        <sz val="8"/>
        <rFont val="Arial"/>
        <family val="2"/>
      </rPr>
      <t xml:space="preserve">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1970=14 250,  1980=14 248,  1990=14 031 </t>
    </r>
  </si>
  <si>
    <r>
      <t xml:space="preserve">CS: </t>
    </r>
    <r>
      <rPr>
        <sz val="8"/>
        <rFont val="Arial"/>
        <family val="2"/>
      </rPr>
      <t>1970: 13 308, 1980: 13 131, 1990: 13 111</t>
    </r>
  </si>
  <si>
    <r>
      <t>Source</t>
    </r>
    <r>
      <rPr>
        <sz val="8"/>
        <rFont val="Arial"/>
        <family val="2"/>
      </rPr>
      <t>: Union Internationale des Chemins de Fer (updated June 2018), high speed department; national sources</t>
    </r>
  </si>
  <si>
    <r>
      <t>Source</t>
    </r>
    <r>
      <rPr>
        <sz val="8"/>
        <rFont val="Arial"/>
        <family val="2"/>
      </rPr>
      <t>: Union Internationale des Chemins de Fer (updated June 2018), national sources</t>
    </r>
  </si>
  <si>
    <t>Copenhagen - Ringsted</t>
  </si>
  <si>
    <t>Offenburg - Riegel (Basel)</t>
  </si>
  <si>
    <t>Stuttgart - Wendlingen</t>
  </si>
  <si>
    <t>Buggingen - Katzenberg tunnel (Basel)</t>
  </si>
  <si>
    <t>Wendlingen - Ulm</t>
  </si>
  <si>
    <t xml:space="preserve">Tunnel Rastatt </t>
  </si>
  <si>
    <t>Monforte del Cid - Murcia</t>
  </si>
  <si>
    <t>Vitoria - Bilbao - San Sebastian</t>
  </si>
  <si>
    <t>León - Asturias Variante de Pajares</t>
  </si>
  <si>
    <t>Bobadilla - Granada</t>
  </si>
  <si>
    <t>Plasencia -Cacere / Badajoz</t>
  </si>
  <si>
    <t>Venta de Banos - Burgos</t>
  </si>
  <si>
    <t xml:space="preserve">Zamora - Orense </t>
  </si>
  <si>
    <t>Counternement Nimes - Montpellier</t>
  </si>
  <si>
    <t>Genoa - Milan (Tortona)</t>
  </si>
  <si>
    <t>Graz-Klagenfurt (Koralmbahn)</t>
  </si>
  <si>
    <t>Brenner-Basis-Tunnel</t>
  </si>
  <si>
    <t>London - Birmingham</t>
  </si>
  <si>
    <r>
      <t>CZ</t>
    </r>
    <r>
      <rPr>
        <sz val="8"/>
        <rFont val="Arial"/>
        <family val="2"/>
      </rPr>
      <t>: as from 2016 most of expressways have been changed into class II motorways.</t>
    </r>
  </si>
  <si>
    <r>
      <t>UK:</t>
    </r>
    <r>
      <rPr>
        <sz val="8"/>
        <rFont val="Arial"/>
        <family val="2"/>
      </rPr>
      <t xml:space="preserve"> data refers to the 1st of April.</t>
    </r>
  </si>
  <si>
    <r>
      <t xml:space="preserve">km at the end of </t>
    </r>
    <r>
      <rPr>
        <b/>
        <sz val="10"/>
        <rFont val="Arial"/>
        <family val="2"/>
      </rPr>
      <t>2016*</t>
    </r>
  </si>
  <si>
    <t>Other roads**</t>
  </si>
  <si>
    <t xml:space="preserve">**: the definition of road types varies from country to country, the data are therefore not comparable. </t>
  </si>
  <si>
    <r>
      <t>*BE</t>
    </r>
    <r>
      <rPr>
        <sz val="8"/>
        <rFont val="Arial"/>
        <family val="2"/>
      </rPr>
      <t xml:space="preserve"> end of 2009 </t>
    </r>
    <r>
      <rPr>
        <b/>
        <sz val="8"/>
        <rFont val="Arial"/>
        <family val="2"/>
      </rPr>
      <t xml:space="preserve">EL </t>
    </r>
    <r>
      <rPr>
        <sz val="8"/>
        <rFont val="Arial"/>
        <family val="2"/>
      </rPr>
      <t xml:space="preserve">end of 2010 </t>
    </r>
    <r>
      <rPr>
        <b/>
        <sz val="8"/>
        <rFont val="Arial"/>
        <family val="2"/>
      </rPr>
      <t>IT</t>
    </r>
    <r>
      <rPr>
        <sz val="8"/>
        <rFont val="Arial"/>
        <family val="2"/>
      </rPr>
      <t xml:space="preserve"> end of 2015 </t>
    </r>
    <r>
      <rPr>
        <b/>
        <sz val="8"/>
        <rFont val="Arial"/>
        <family val="2"/>
      </rPr>
      <t>UK</t>
    </r>
    <r>
      <rPr>
        <sz val="8"/>
        <rFont val="Arial"/>
        <family val="2"/>
      </rPr>
      <t xml:space="preserve"> 1st of April 2016 </t>
    </r>
    <r>
      <rPr>
        <b/>
        <sz val="8"/>
        <rFont val="Arial"/>
        <family val="2"/>
      </rPr>
      <t>IS</t>
    </r>
    <r>
      <rPr>
        <sz val="8"/>
        <rFont val="Arial"/>
        <family val="2"/>
      </rPr>
      <t xml:space="preserve"> end of 2011 </t>
    </r>
  </si>
  <si>
    <t>by number of passengers carried* in 2016</t>
  </si>
  <si>
    <r>
      <t>Notes:</t>
    </r>
    <r>
      <rPr>
        <sz val="8"/>
        <rFont val="Arial"/>
        <family val="2"/>
      </rPr>
      <t xml:space="preserve"> *: 'Passengers carried' do not include direct transit passengers (i.e. transit passengers who stay on board and continue their flight with the same flight number). </t>
    </r>
    <r>
      <rPr>
        <sz val="8"/>
        <rFont val="Arial"/>
        <family val="2"/>
      </rPr>
      <t>In this table, blank means none.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</si>
</sst>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0"/>
    <numFmt numFmtId="166" formatCode="0.0\ \ \ "/>
    <numFmt numFmtId="167" formatCode="#,##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Times"/>
      <family val="1"/>
    </font>
    <font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u val="single"/>
      <sz val="8"/>
      <name val="Arial"/>
      <family val="2"/>
    </font>
    <font>
      <sz val="14"/>
      <name val="Arial"/>
      <family val="2"/>
    </font>
    <font>
      <b/>
      <sz val="10"/>
      <name val="Times"/>
      <family val="1"/>
    </font>
    <font>
      <b/>
      <sz val="8"/>
      <name val="Times"/>
      <family val="1"/>
    </font>
    <font>
      <b/>
      <sz val="18"/>
      <name val="Arial"/>
      <family val="2"/>
    </font>
    <font>
      <b/>
      <i/>
      <sz val="10"/>
      <name val="Times"/>
      <family val="1"/>
    </font>
    <font>
      <sz val="8"/>
      <name val="Times"/>
      <family val="1"/>
    </font>
    <font>
      <i/>
      <sz val="8"/>
      <name val="Times"/>
      <family val="1"/>
    </font>
    <font>
      <sz val="11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thin"/>
      <right style="dashed"/>
      <top style="thin"/>
      <bottom style="hair"/>
    </border>
    <border>
      <left style="dashed"/>
      <right style="hair"/>
      <top style="thin"/>
      <bottom style="hair"/>
    </border>
    <border>
      <left style="thin"/>
      <right style="dashed"/>
      <top/>
      <bottom style="hair"/>
    </border>
    <border>
      <left style="dashed"/>
      <right style="hair"/>
      <top/>
      <bottom style="hair"/>
    </border>
    <border>
      <left style="thin"/>
      <right style="dashed"/>
      <top style="hair"/>
      <bottom style="hair"/>
    </border>
    <border>
      <left style="dashed"/>
      <right style="hair"/>
      <top style="hair"/>
      <bottom style="hair"/>
    </border>
    <border>
      <left style="thin"/>
      <right style="dashed"/>
      <top/>
      <bottom/>
    </border>
    <border>
      <left style="dashed"/>
      <right style="hair"/>
      <top/>
      <bottom/>
    </border>
    <border>
      <left style="thin"/>
      <right style="dashed"/>
      <top/>
      <bottom style="thin"/>
    </border>
    <border>
      <left style="dashed"/>
      <right style="hair"/>
      <top/>
      <bottom style="thin"/>
    </border>
    <border>
      <left style="thin"/>
      <right style="thin"/>
      <top style="thin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ck"/>
      <top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dashed"/>
      <top style="hair"/>
      <bottom/>
    </border>
    <border>
      <left style="dashed"/>
      <right style="hair"/>
      <top style="hair"/>
      <bottom/>
    </border>
    <border>
      <left style="hair"/>
      <right style="thin"/>
      <top style="hair"/>
      <bottom/>
    </border>
    <border>
      <left style="medium"/>
      <right/>
      <top/>
      <bottom/>
    </border>
    <border>
      <left style="thick"/>
      <right/>
      <top/>
      <bottom/>
    </border>
    <border>
      <left style="thick"/>
      <right/>
      <top style="thin"/>
      <bottom style="thin"/>
    </border>
    <border>
      <left style="thick"/>
      <right style="thin"/>
      <top/>
      <bottom/>
    </border>
    <border>
      <left style="hair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2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11" fillId="33" borderId="0" applyNumberFormat="0" applyBorder="0">
      <alignment/>
      <protection locked="0"/>
    </xf>
    <xf numFmtId="0" fontId="54" fillId="0" borderId="9" applyNumberFormat="0" applyFill="0" applyAlignment="0" applyProtection="0"/>
    <xf numFmtId="0" fontId="12" fillId="34" borderId="0" applyNumberFormat="0" applyBorder="0">
      <alignment/>
      <protection locked="0"/>
    </xf>
    <xf numFmtId="0" fontId="55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5" fillId="0" borderId="0" xfId="0" applyFont="1" applyAlignment="1" quotePrefix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Border="1" applyAlignment="1" quotePrefix="1">
      <alignment horizontal="right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0" fillId="0" borderId="14" xfId="0" applyFont="1" applyBorder="1" applyAlignment="1">
      <alignment horizontal="right" vertical="top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 quotePrefix="1">
      <alignment horizontal="left" vertical="top"/>
    </xf>
    <xf numFmtId="0" fontId="15" fillId="0" borderId="0" xfId="0" applyFont="1" applyAlignment="1">
      <alignment/>
    </xf>
    <xf numFmtId="0" fontId="0" fillId="0" borderId="14" xfId="0" applyFill="1" applyBorder="1" applyAlignment="1">
      <alignment/>
    </xf>
    <xf numFmtId="0" fontId="3" fillId="0" borderId="14" xfId="0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1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165" fontId="3" fillId="0" borderId="16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 quotePrefix="1">
      <alignment horizontal="right" vertical="center"/>
    </xf>
    <xf numFmtId="165" fontId="3" fillId="0" borderId="0" xfId="0" applyNumberFormat="1" applyFont="1" applyFill="1" applyBorder="1" applyAlignment="1" quotePrefix="1">
      <alignment horizontal="right" vertical="center"/>
    </xf>
    <xf numFmtId="1" fontId="4" fillId="35" borderId="18" xfId="0" applyNumberFormat="1" applyFont="1" applyFill="1" applyBorder="1" applyAlignment="1">
      <alignment horizontal="center" vertical="center"/>
    </xf>
    <xf numFmtId="1" fontId="4" fillId="35" borderId="19" xfId="0" applyNumberFormat="1" applyFont="1" applyFill="1" applyBorder="1" applyAlignment="1">
      <alignment horizontal="center" vertical="center"/>
    </xf>
    <xf numFmtId="1" fontId="4" fillId="35" borderId="2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0" fillId="35" borderId="21" xfId="0" applyFill="1" applyBorder="1" applyAlignment="1">
      <alignment/>
    </xf>
    <xf numFmtId="0" fontId="0" fillId="35" borderId="16" xfId="0" applyFill="1" applyBorder="1" applyAlignment="1">
      <alignment/>
    </xf>
    <xf numFmtId="0" fontId="13" fillId="35" borderId="22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13" fillId="35" borderId="23" xfId="0" applyFont="1" applyFill="1" applyBorder="1" applyAlignment="1">
      <alignment horizontal="center" vertical="top" wrapText="1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 quotePrefix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1" fontId="4" fillId="35" borderId="34" xfId="0" applyNumberFormat="1" applyFont="1" applyFill="1" applyBorder="1" applyAlignment="1">
      <alignment horizontal="center" vertical="center" wrapText="1"/>
    </xf>
    <xf numFmtId="1" fontId="4" fillId="35" borderId="35" xfId="0" applyNumberFormat="1" applyFont="1" applyFill="1" applyBorder="1" applyAlignment="1">
      <alignment horizontal="center" vertical="center" wrapText="1"/>
    </xf>
    <xf numFmtId="1" fontId="4" fillId="35" borderId="3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center" vertical="center"/>
    </xf>
    <xf numFmtId="1" fontId="4" fillId="36" borderId="10" xfId="0" applyNumberFormat="1" applyFont="1" applyFill="1" applyBorder="1" applyAlignment="1">
      <alignment horizontal="center" vertical="center"/>
    </xf>
    <xf numFmtId="1" fontId="4" fillId="36" borderId="11" xfId="0" applyNumberFormat="1" applyFont="1" applyFill="1" applyBorder="1" applyAlignment="1">
      <alignment horizontal="center" vertical="center"/>
    </xf>
    <xf numFmtId="0" fontId="4" fillId="36" borderId="37" xfId="0" applyFont="1" applyFill="1" applyBorder="1" applyAlignment="1">
      <alignment horizontal="center" vertical="center"/>
    </xf>
    <xf numFmtId="0" fontId="4" fillId="36" borderId="38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17" fontId="2" fillId="0" borderId="0" xfId="0" applyNumberFormat="1" applyFont="1" applyBorder="1" applyAlignment="1" quotePrefix="1">
      <alignment horizontal="center" vertical="center" wrapText="1"/>
    </xf>
    <xf numFmtId="165" fontId="3" fillId="36" borderId="13" xfId="0" applyNumberFormat="1" applyFont="1" applyFill="1" applyBorder="1" applyAlignment="1">
      <alignment horizontal="right" vertical="center"/>
    </xf>
    <xf numFmtId="165" fontId="3" fillId="36" borderId="0" xfId="0" applyNumberFormat="1" applyFont="1" applyFill="1" applyBorder="1" applyAlignment="1">
      <alignment horizontal="right" vertical="center"/>
    </xf>
    <xf numFmtId="165" fontId="9" fillId="36" borderId="0" xfId="0" applyNumberFormat="1" applyFont="1" applyFill="1" applyBorder="1" applyAlignment="1">
      <alignment horizontal="right" vertical="center"/>
    </xf>
    <xf numFmtId="0" fontId="3" fillId="36" borderId="28" xfId="0" applyFont="1" applyFill="1" applyBorder="1" applyAlignment="1">
      <alignment vertical="center"/>
    </xf>
    <xf numFmtId="0" fontId="3" fillId="36" borderId="29" xfId="0" applyFont="1" applyFill="1" applyBorder="1" applyAlignment="1">
      <alignment horizontal="center" vertical="center"/>
    </xf>
    <xf numFmtId="0" fontId="3" fillId="36" borderId="30" xfId="0" applyFont="1" applyFill="1" applyBorder="1" applyAlignment="1">
      <alignment vertical="center"/>
    </xf>
    <xf numFmtId="0" fontId="3" fillId="36" borderId="3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right" vertical="center"/>
    </xf>
    <xf numFmtId="0" fontId="3" fillId="36" borderId="40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3" fillId="36" borderId="41" xfId="0" applyFont="1" applyFill="1" applyBorder="1" applyAlignment="1">
      <alignment horizontal="right" vertical="center"/>
    </xf>
    <xf numFmtId="0" fontId="3" fillId="0" borderId="42" xfId="0" applyFont="1" applyFill="1" applyBorder="1" applyAlignment="1">
      <alignment horizontal="right" vertical="center"/>
    </xf>
    <xf numFmtId="0" fontId="3" fillId="0" borderId="41" xfId="0" applyFont="1" applyFill="1" applyBorder="1" applyAlignment="1">
      <alignment horizontal="right" vertical="center"/>
    </xf>
    <xf numFmtId="0" fontId="3" fillId="36" borderId="42" xfId="0" applyFont="1" applyFill="1" applyBorder="1" applyAlignment="1">
      <alignment horizontal="right" vertical="center"/>
    </xf>
    <xf numFmtId="0" fontId="3" fillId="0" borderId="41" xfId="0" applyFont="1" applyFill="1" applyBorder="1" applyAlignment="1" quotePrefix="1">
      <alignment horizontal="right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36" borderId="50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3" fillId="0" borderId="48" xfId="0" applyFont="1" applyFill="1" applyBorder="1" applyAlignment="1" quotePrefix="1">
      <alignment horizontal="center" vertical="center"/>
    </xf>
    <xf numFmtId="0" fontId="3" fillId="0" borderId="49" xfId="0" applyFont="1" applyFill="1" applyBorder="1" applyAlignment="1" quotePrefix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8" fillId="35" borderId="5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66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7" fontId="3" fillId="36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9" fillId="36" borderId="0" xfId="0" applyNumberFormat="1" applyFont="1" applyFill="1" applyBorder="1" applyAlignment="1">
      <alignment horizontal="right" vertical="center"/>
    </xf>
    <xf numFmtId="167" fontId="3" fillId="0" borderId="14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horizontal="center" vertical="center"/>
    </xf>
    <xf numFmtId="1" fontId="4" fillId="35" borderId="21" xfId="0" applyNumberFormat="1" applyFont="1" applyFill="1" applyBorder="1" applyAlignment="1">
      <alignment horizontal="center"/>
    </xf>
    <xf numFmtId="1" fontId="4" fillId="35" borderId="16" xfId="0" applyNumberFormat="1" applyFont="1" applyFill="1" applyBorder="1" applyAlignment="1">
      <alignment horizontal="center"/>
    </xf>
    <xf numFmtId="1" fontId="4" fillId="35" borderId="17" xfId="0" applyNumberFormat="1" applyFont="1" applyFill="1" applyBorder="1" applyAlignment="1">
      <alignment horizontal="center" vertical="center"/>
    </xf>
    <xf numFmtId="1" fontId="4" fillId="35" borderId="14" xfId="0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/>
    </xf>
    <xf numFmtId="167" fontId="3" fillId="0" borderId="13" xfId="0" applyNumberFormat="1" applyFont="1" applyFill="1" applyBorder="1" applyAlignment="1" quotePrefix="1">
      <alignment horizontal="right" vertical="center"/>
    </xf>
    <xf numFmtId="167" fontId="3" fillId="0" borderId="0" xfId="0" applyNumberFormat="1" applyFont="1" applyFill="1" applyBorder="1" applyAlignment="1" quotePrefix="1">
      <alignment horizontal="right" vertical="center"/>
    </xf>
    <xf numFmtId="167" fontId="3" fillId="0" borderId="33" xfId="0" applyNumberFormat="1" applyFont="1" applyFill="1" applyBorder="1" applyAlignment="1" quotePrefix="1">
      <alignment horizontal="right" vertical="center"/>
    </xf>
    <xf numFmtId="0" fontId="3" fillId="0" borderId="55" xfId="0" applyFont="1" applyFill="1" applyBorder="1" applyAlignment="1">
      <alignment vertical="center"/>
    </xf>
    <xf numFmtId="167" fontId="3" fillId="0" borderId="56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top"/>
    </xf>
    <xf numFmtId="165" fontId="10" fillId="36" borderId="16" xfId="0" applyNumberFormat="1" applyFont="1" applyFill="1" applyBorder="1" applyAlignment="1">
      <alignment horizontal="right" vertical="center"/>
    </xf>
    <xf numFmtId="165" fontId="10" fillId="36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top"/>
    </xf>
    <xf numFmtId="1" fontId="4" fillId="35" borderId="57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vertical="top"/>
    </xf>
    <xf numFmtId="0" fontId="0" fillId="0" borderId="15" xfId="0" applyFill="1" applyBorder="1" applyAlignment="1">
      <alignment/>
    </xf>
    <xf numFmtId="0" fontId="0" fillId="0" borderId="33" xfId="0" applyFill="1" applyBorder="1" applyAlignment="1">
      <alignment/>
    </xf>
    <xf numFmtId="167" fontId="3" fillId="0" borderId="16" xfId="0" applyNumberFormat="1" applyFont="1" applyFill="1" applyBorder="1" applyAlignment="1" quotePrefix="1">
      <alignment horizontal="right" vertical="center"/>
    </xf>
    <xf numFmtId="0" fontId="0" fillId="0" borderId="15" xfId="0" applyFill="1" applyBorder="1" applyAlignment="1">
      <alignment vertical="center"/>
    </xf>
    <xf numFmtId="165" fontId="3" fillId="0" borderId="15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 wrapText="1"/>
    </xf>
    <xf numFmtId="167" fontId="3" fillId="36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167" fontId="3" fillId="0" borderId="21" xfId="0" applyNumberFormat="1" applyFont="1" applyFill="1" applyBorder="1" applyAlignment="1" quotePrefix="1">
      <alignment horizontal="right" vertical="center"/>
    </xf>
    <xf numFmtId="167" fontId="3" fillId="0" borderId="58" xfId="0" applyNumberFormat="1" applyFont="1" applyFill="1" applyBorder="1" applyAlignment="1" quotePrefix="1">
      <alignment horizontal="right" vertical="center"/>
    </xf>
    <xf numFmtId="0" fontId="4" fillId="0" borderId="0" xfId="0" applyFont="1" applyBorder="1" applyAlignment="1">
      <alignment horizontal="left" wrapText="1"/>
    </xf>
    <xf numFmtId="0" fontId="3" fillId="0" borderId="58" xfId="0" applyFont="1" applyFill="1" applyBorder="1" applyAlignment="1">
      <alignment horizontal="center" vertical="center"/>
    </xf>
    <xf numFmtId="0" fontId="9" fillId="37" borderId="21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3" fillId="37" borderId="24" xfId="0" applyFont="1" applyFill="1" applyBorder="1" applyAlignment="1">
      <alignment vertical="center"/>
    </xf>
    <xf numFmtId="167" fontId="3" fillId="37" borderId="22" xfId="0" applyNumberFormat="1" applyFont="1" applyFill="1" applyBorder="1" applyAlignment="1">
      <alignment vertical="center"/>
    </xf>
    <xf numFmtId="0" fontId="3" fillId="37" borderId="58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vertical="center"/>
    </xf>
    <xf numFmtId="0" fontId="0" fillId="37" borderId="0" xfId="0" applyFill="1" applyBorder="1" applyAlignment="1">
      <alignment vertical="center"/>
    </xf>
    <xf numFmtId="0" fontId="3" fillId="37" borderId="55" xfId="0" applyFont="1" applyFill="1" applyBorder="1" applyAlignment="1">
      <alignment vertical="center"/>
    </xf>
    <xf numFmtId="167" fontId="3" fillId="37" borderId="56" xfId="0" applyNumberFormat="1" applyFont="1" applyFill="1" applyBorder="1" applyAlignment="1">
      <alignment vertical="center"/>
    </xf>
    <xf numFmtId="0" fontId="3" fillId="37" borderId="33" xfId="0" applyFont="1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4" fillId="36" borderId="21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/>
    </xf>
    <xf numFmtId="0" fontId="4" fillId="37" borderId="11" xfId="0" applyFont="1" applyFill="1" applyBorder="1" applyAlignment="1">
      <alignment horizontal="center" vertical="center"/>
    </xf>
    <xf numFmtId="3" fontId="0" fillId="0" borderId="0" xfId="0" applyNumberFormat="1" applyAlignment="1">
      <alignment wrapText="1"/>
    </xf>
    <xf numFmtId="164" fontId="3" fillId="0" borderId="0" xfId="0" applyNumberFormat="1" applyFont="1" applyFill="1" applyBorder="1" applyAlignment="1">
      <alignment vertical="center"/>
    </xf>
    <xf numFmtId="164" fontId="3" fillId="36" borderId="0" xfId="0" applyNumberFormat="1" applyFont="1" applyFill="1" applyBorder="1" applyAlignment="1">
      <alignment horizontal="right" vertical="center"/>
    </xf>
    <xf numFmtId="164" fontId="3" fillId="36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3" fillId="38" borderId="21" xfId="0" applyFont="1" applyFill="1" applyBorder="1" applyAlignment="1">
      <alignment/>
    </xf>
    <xf numFmtId="0" fontId="4" fillId="38" borderId="16" xfId="0" applyFont="1" applyFill="1" applyBorder="1" applyAlignment="1">
      <alignment horizontal="center" wrapText="1"/>
    </xf>
    <xf numFmtId="0" fontId="4" fillId="38" borderId="58" xfId="0" applyFont="1" applyFill="1" applyBorder="1" applyAlignment="1">
      <alignment horizontal="center" wrapText="1"/>
    </xf>
    <xf numFmtId="0" fontId="4" fillId="38" borderId="17" xfId="0" applyFont="1" applyFill="1" applyBorder="1" applyAlignment="1">
      <alignment horizontal="center" vertical="top" wrapText="1"/>
    </xf>
    <xf numFmtId="0" fontId="4" fillId="38" borderId="14" xfId="0" applyFont="1" applyFill="1" applyBorder="1" applyAlignment="1">
      <alignment horizontal="center" vertical="top" wrapText="1"/>
    </xf>
    <xf numFmtId="0" fontId="4" fillId="38" borderId="15" xfId="0" applyFont="1" applyFill="1" applyBorder="1" applyAlignment="1">
      <alignment horizontal="center" vertical="top" wrapText="1"/>
    </xf>
    <xf numFmtId="165" fontId="3" fillId="36" borderId="33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65" fontId="3" fillId="36" borderId="0" xfId="0" applyNumberFormat="1" applyFont="1" applyFill="1" applyBorder="1" applyAlignment="1">
      <alignment horizontal="right" vertical="center"/>
    </xf>
    <xf numFmtId="165" fontId="9" fillId="0" borderId="33" xfId="0" applyNumberFormat="1" applyFont="1" applyFill="1" applyBorder="1" applyAlignment="1">
      <alignment horizontal="right" vertical="center"/>
    </xf>
    <xf numFmtId="165" fontId="3" fillId="37" borderId="13" xfId="0" applyNumberFormat="1" applyFont="1" applyFill="1" applyBorder="1" applyAlignment="1">
      <alignment horizontal="right" vertical="center"/>
    </xf>
    <xf numFmtId="165" fontId="3" fillId="37" borderId="0" xfId="0" applyNumberFormat="1" applyFont="1" applyFill="1" applyBorder="1" applyAlignment="1">
      <alignment horizontal="right" vertical="center"/>
    </xf>
    <xf numFmtId="167" fontId="3" fillId="37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right" vertical="center"/>
    </xf>
    <xf numFmtId="167" fontId="3" fillId="0" borderId="59" xfId="0" applyNumberFormat="1" applyFont="1" applyFill="1" applyBorder="1" applyAlignment="1">
      <alignment horizontal="right" vertical="center"/>
    </xf>
    <xf numFmtId="165" fontId="3" fillId="37" borderId="0" xfId="0" applyNumberFormat="1" applyFont="1" applyFill="1" applyBorder="1" applyAlignment="1">
      <alignment horizontal="right" vertical="center"/>
    </xf>
    <xf numFmtId="165" fontId="3" fillId="37" borderId="33" xfId="0" applyNumberFormat="1" applyFont="1" applyFill="1" applyBorder="1" applyAlignment="1">
      <alignment horizontal="right" vertical="center"/>
    </xf>
    <xf numFmtId="0" fontId="4" fillId="37" borderId="12" xfId="0" applyFont="1" applyFill="1" applyBorder="1" applyAlignment="1">
      <alignment horizontal="center" vertical="center"/>
    </xf>
    <xf numFmtId="165" fontId="3" fillId="37" borderId="17" xfId="0" applyNumberFormat="1" applyFont="1" applyFill="1" applyBorder="1" applyAlignment="1">
      <alignment horizontal="right" vertical="center"/>
    </xf>
    <xf numFmtId="165" fontId="3" fillId="37" borderId="14" xfId="0" applyNumberFormat="1" applyFont="1" applyFill="1" applyBorder="1" applyAlignment="1">
      <alignment horizontal="right" vertical="center"/>
    </xf>
    <xf numFmtId="167" fontId="3" fillId="37" borderId="14" xfId="0" applyNumberFormat="1" applyFont="1" applyFill="1" applyBorder="1" applyAlignment="1">
      <alignment horizontal="right" vertical="center"/>
    </xf>
    <xf numFmtId="165" fontId="3" fillId="37" borderId="15" xfId="0" applyNumberFormat="1" applyFont="1" applyFill="1" applyBorder="1" applyAlignment="1">
      <alignment horizontal="right" vertical="center"/>
    </xf>
    <xf numFmtId="0" fontId="4" fillId="37" borderId="15" xfId="0" applyFont="1" applyFill="1" applyBorder="1" applyAlignment="1">
      <alignment horizontal="center" vertical="center"/>
    </xf>
    <xf numFmtId="164" fontId="3" fillId="37" borderId="14" xfId="0" applyNumberFormat="1" applyFont="1" applyFill="1" applyBorder="1" applyAlignment="1">
      <alignment vertical="center"/>
    </xf>
    <xf numFmtId="164" fontId="3" fillId="37" borderId="0" xfId="0" applyNumberFormat="1" applyFont="1" applyFill="1" applyBorder="1" applyAlignment="1">
      <alignment vertical="center"/>
    </xf>
    <xf numFmtId="0" fontId="4" fillId="37" borderId="37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48" xfId="0" applyFont="1" applyFill="1" applyBorder="1" applyAlignment="1">
      <alignment horizontal="center" vertical="center"/>
    </xf>
    <xf numFmtId="0" fontId="3" fillId="37" borderId="47" xfId="0" applyFont="1" applyFill="1" applyBorder="1" applyAlignment="1">
      <alignment horizontal="center" vertical="center"/>
    </xf>
    <xf numFmtId="0" fontId="3" fillId="37" borderId="40" xfId="0" applyFont="1" applyFill="1" applyBorder="1" applyAlignment="1">
      <alignment horizontal="right" vertical="center"/>
    </xf>
    <xf numFmtId="0" fontId="4" fillId="37" borderId="38" xfId="0" applyFont="1" applyFill="1" applyBorder="1" applyAlignment="1">
      <alignment horizontal="center" vertical="center"/>
    </xf>
    <xf numFmtId="0" fontId="3" fillId="37" borderId="49" xfId="0" applyFont="1" applyFill="1" applyBorder="1" applyAlignment="1">
      <alignment horizontal="center" vertical="center"/>
    </xf>
    <xf numFmtId="0" fontId="3" fillId="37" borderId="41" xfId="0" applyFont="1" applyFill="1" applyBorder="1" applyAlignment="1">
      <alignment horizontal="right" vertical="center"/>
    </xf>
    <xf numFmtId="0" fontId="3" fillId="37" borderId="32" xfId="0" applyFont="1" applyFill="1" applyBorder="1" applyAlignment="1" quotePrefix="1">
      <alignment horizontal="center" vertical="center"/>
    </xf>
    <xf numFmtId="0" fontId="3" fillId="37" borderId="48" xfId="0" applyFont="1" applyFill="1" applyBorder="1" applyAlignment="1" quotePrefix="1">
      <alignment horizontal="center" vertical="center"/>
    </xf>
    <xf numFmtId="0" fontId="3" fillId="37" borderId="49" xfId="0" applyFont="1" applyFill="1" applyBorder="1" applyAlignment="1" quotePrefix="1">
      <alignment horizontal="center" vertical="center"/>
    </xf>
    <xf numFmtId="0" fontId="3" fillId="37" borderId="41" xfId="0" applyFont="1" applyFill="1" applyBorder="1" applyAlignment="1" quotePrefix="1">
      <alignment horizontal="right" vertical="center"/>
    </xf>
    <xf numFmtId="0" fontId="4" fillId="37" borderId="60" xfId="0" applyFont="1" applyFill="1" applyBorder="1" applyAlignment="1">
      <alignment horizontal="center" vertical="center"/>
    </xf>
    <xf numFmtId="0" fontId="3" fillId="37" borderId="61" xfId="0" applyFont="1" applyFill="1" applyBorder="1" applyAlignment="1">
      <alignment vertical="center"/>
    </xf>
    <xf numFmtId="0" fontId="3" fillId="37" borderId="62" xfId="0" applyFont="1" applyFill="1" applyBorder="1" applyAlignment="1">
      <alignment horizontal="center" vertical="center"/>
    </xf>
    <xf numFmtId="0" fontId="3" fillId="37" borderId="63" xfId="0" applyFont="1" applyFill="1" applyBorder="1" applyAlignment="1">
      <alignment/>
    </xf>
    <xf numFmtId="0" fontId="3" fillId="37" borderId="64" xfId="0" applyFont="1" applyFill="1" applyBorder="1" applyAlignment="1">
      <alignment/>
    </xf>
    <xf numFmtId="0" fontId="3" fillId="37" borderId="65" xfId="0" applyFont="1" applyFill="1" applyBorder="1" applyAlignment="1">
      <alignment horizontal="right"/>
    </xf>
    <xf numFmtId="0" fontId="4" fillId="37" borderId="11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vertical="center"/>
    </xf>
    <xf numFmtId="0" fontId="3" fillId="37" borderId="29" xfId="0" applyFont="1" applyFill="1" applyBorder="1" applyAlignment="1">
      <alignment horizontal="center" vertical="center"/>
    </xf>
    <xf numFmtId="0" fontId="3" fillId="37" borderId="46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165" fontId="9" fillId="37" borderId="0" xfId="0" applyNumberFormat="1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/>
    </xf>
    <xf numFmtId="165" fontId="3" fillId="37" borderId="13" xfId="0" applyNumberFormat="1" applyFont="1" applyFill="1" applyBorder="1" applyAlignment="1" quotePrefix="1">
      <alignment horizontal="right" vertical="center"/>
    </xf>
    <xf numFmtId="165" fontId="3" fillId="37" borderId="0" xfId="0" applyNumberFormat="1" applyFont="1" applyFill="1" applyBorder="1" applyAlignment="1" quotePrefix="1">
      <alignment horizontal="right" vertical="center"/>
    </xf>
    <xf numFmtId="165" fontId="9" fillId="37" borderId="33" xfId="0" applyNumberFormat="1" applyFont="1" applyFill="1" applyBorder="1" applyAlignment="1">
      <alignment horizontal="right" vertical="center"/>
    </xf>
    <xf numFmtId="0" fontId="3" fillId="37" borderId="28" xfId="0" applyFont="1" applyFill="1" applyBorder="1" applyAlignment="1">
      <alignment vertical="center"/>
    </xf>
    <xf numFmtId="3" fontId="3" fillId="37" borderId="16" xfId="0" applyNumberFormat="1" applyFont="1" applyFill="1" applyBorder="1" applyAlignment="1" quotePrefix="1">
      <alignment horizontal="right" vertical="center"/>
    </xf>
    <xf numFmtId="165" fontId="9" fillId="0" borderId="21" xfId="0" applyNumberFormat="1" applyFont="1" applyFill="1" applyBorder="1" applyAlignment="1">
      <alignment horizontal="right" vertical="center"/>
    </xf>
    <xf numFmtId="165" fontId="3" fillId="0" borderId="16" xfId="0" applyNumberFormat="1" applyFont="1" applyFill="1" applyBorder="1" applyAlignment="1">
      <alignment horizontal="right" vertical="center"/>
    </xf>
    <xf numFmtId="165" fontId="3" fillId="0" borderId="58" xfId="0" applyNumberFormat="1" applyFont="1" applyFill="1" applyBorder="1" applyAlignment="1">
      <alignment horizontal="right" vertical="center"/>
    </xf>
    <xf numFmtId="165" fontId="3" fillId="36" borderId="13" xfId="0" applyNumberFormat="1" applyFont="1" applyFill="1" applyBorder="1" applyAlignment="1">
      <alignment horizontal="right" vertical="center"/>
    </xf>
    <xf numFmtId="165" fontId="3" fillId="36" borderId="0" xfId="0" applyNumberFormat="1" applyFont="1" applyFill="1" applyBorder="1" applyAlignment="1">
      <alignment vertical="center"/>
    </xf>
    <xf numFmtId="165" fontId="3" fillId="36" borderId="33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0" borderId="33" xfId="0" applyNumberFormat="1" applyFont="1" applyFill="1" applyBorder="1" applyAlignment="1">
      <alignment horizontal="right" vertical="center"/>
    </xf>
    <xf numFmtId="165" fontId="3" fillId="37" borderId="13" xfId="0" applyNumberFormat="1" applyFont="1" applyFill="1" applyBorder="1" applyAlignment="1">
      <alignment horizontal="right" vertical="center"/>
    </xf>
    <xf numFmtId="165" fontId="3" fillId="0" borderId="13" xfId="0" applyNumberFormat="1" applyFont="1" applyFill="1" applyBorder="1" applyAlignment="1" quotePrefix="1">
      <alignment horizontal="right" vertical="center"/>
    </xf>
    <xf numFmtId="165" fontId="3" fillId="37" borderId="13" xfId="0" applyNumberFormat="1" applyFont="1" applyFill="1" applyBorder="1" applyAlignment="1" quotePrefix="1">
      <alignment horizontal="right" vertical="center"/>
    </xf>
    <xf numFmtId="165" fontId="3" fillId="0" borderId="0" xfId="0" applyNumberFormat="1" applyFont="1" applyFill="1" applyBorder="1" applyAlignment="1">
      <alignment vertical="center"/>
    </xf>
    <xf numFmtId="165" fontId="3" fillId="0" borderId="33" xfId="0" applyNumberFormat="1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9" fillId="0" borderId="16" xfId="0" applyNumberFormat="1" applyFont="1" applyFill="1" applyBorder="1" applyAlignment="1">
      <alignment vertical="center"/>
    </xf>
    <xf numFmtId="165" fontId="3" fillId="0" borderId="21" xfId="0" applyNumberFormat="1" applyFont="1" applyFill="1" applyBorder="1" applyAlignment="1">
      <alignment vertical="center"/>
    </xf>
    <xf numFmtId="165" fontId="3" fillId="0" borderId="16" xfId="0" applyNumberFormat="1" applyFont="1" applyFill="1" applyBorder="1" applyAlignment="1">
      <alignment vertical="center"/>
    </xf>
    <xf numFmtId="165" fontId="3" fillId="0" borderId="13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9" fillId="0" borderId="0" xfId="0" applyNumberFormat="1" applyFont="1" applyBorder="1" applyAlignment="1">
      <alignment vertical="center"/>
    </xf>
    <xf numFmtId="165" fontId="3" fillId="36" borderId="13" xfId="0" applyNumberFormat="1" applyFont="1" applyFill="1" applyBorder="1" applyAlignment="1">
      <alignment vertical="center"/>
    </xf>
    <xf numFmtId="165" fontId="3" fillId="0" borderId="13" xfId="0" applyNumberFormat="1" applyFont="1" applyFill="1" applyBorder="1" applyAlignment="1">
      <alignment vertical="center"/>
    </xf>
    <xf numFmtId="165" fontId="3" fillId="0" borderId="59" xfId="0" applyNumberFormat="1" applyFont="1" applyFill="1" applyBorder="1" applyAlignment="1">
      <alignment vertical="center"/>
    </xf>
    <xf numFmtId="165" fontId="3" fillId="36" borderId="0" xfId="0" applyNumberFormat="1" applyFont="1" applyFill="1" applyBorder="1" applyAlignment="1" quotePrefix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Fill="1" applyBorder="1" applyAlignment="1" quotePrefix="1">
      <alignment horizontal="right" vertical="center"/>
    </xf>
    <xf numFmtId="165" fontId="3" fillId="0" borderId="13" xfId="0" applyNumberFormat="1" applyFont="1" applyBorder="1" applyAlignment="1" quotePrefix="1">
      <alignment horizontal="right" vertical="center"/>
    </xf>
    <xf numFmtId="165" fontId="3" fillId="0" borderId="0" xfId="0" applyNumberFormat="1" applyFont="1" applyBorder="1" applyAlignment="1" quotePrefix="1">
      <alignment horizontal="right" vertical="center"/>
    </xf>
    <xf numFmtId="165" fontId="3" fillId="37" borderId="13" xfId="0" applyNumberFormat="1" applyFont="1" applyFill="1" applyBorder="1" applyAlignment="1">
      <alignment vertical="center"/>
    </xf>
    <xf numFmtId="165" fontId="3" fillId="37" borderId="0" xfId="0" applyNumberFormat="1" applyFont="1" applyFill="1" applyBorder="1" applyAlignment="1">
      <alignment vertical="center"/>
    </xf>
    <xf numFmtId="165" fontId="9" fillId="0" borderId="16" xfId="0" applyNumberFormat="1" applyFont="1" applyFill="1" applyBorder="1" applyAlignment="1">
      <alignment horizontal="right" vertical="center"/>
    </xf>
    <xf numFmtId="165" fontId="9" fillId="0" borderId="16" xfId="0" applyNumberFormat="1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vertical="center"/>
    </xf>
    <xf numFmtId="165" fontId="3" fillId="0" borderId="14" xfId="0" applyNumberFormat="1" applyFont="1" applyFill="1" applyBorder="1" applyAlignment="1">
      <alignment vertical="center"/>
    </xf>
    <xf numFmtId="165" fontId="3" fillId="37" borderId="0" xfId="0" applyNumberFormat="1" applyFont="1" applyFill="1" applyBorder="1" applyAlignment="1" quotePrefix="1">
      <alignment horizontal="right" vertical="center"/>
    </xf>
    <xf numFmtId="165" fontId="3" fillId="37" borderId="16" xfId="0" applyNumberFormat="1" applyFont="1" applyFill="1" applyBorder="1" applyAlignment="1" quotePrefix="1">
      <alignment horizontal="right" vertical="center"/>
    </xf>
    <xf numFmtId="165" fontId="3" fillId="37" borderId="21" xfId="0" applyNumberFormat="1" applyFont="1" applyFill="1" applyBorder="1" applyAlignment="1" quotePrefix="1">
      <alignment horizontal="right" vertical="center"/>
    </xf>
    <xf numFmtId="165" fontId="3" fillId="37" borderId="17" xfId="0" applyNumberFormat="1" applyFont="1" applyFill="1" applyBorder="1" applyAlignment="1">
      <alignment vertical="center"/>
    </xf>
    <xf numFmtId="165" fontId="3" fillId="37" borderId="14" xfId="0" applyNumberFormat="1" applyFont="1" applyFill="1" applyBorder="1" applyAlignment="1">
      <alignment vertical="center"/>
    </xf>
    <xf numFmtId="165" fontId="3" fillId="37" borderId="14" xfId="0" applyNumberFormat="1" applyFont="1" applyFill="1" applyBorder="1" applyAlignment="1">
      <alignment horizontal="right" vertical="center"/>
    </xf>
    <xf numFmtId="0" fontId="3" fillId="37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3" fillId="0" borderId="33" xfId="0" applyNumberFormat="1" applyFont="1" applyFill="1" applyBorder="1" applyAlignment="1" quotePrefix="1">
      <alignment horizontal="right" vertical="center"/>
    </xf>
    <xf numFmtId="165" fontId="4" fillId="0" borderId="11" xfId="0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 quotePrefix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3" fillId="0" borderId="14" xfId="0" applyNumberFormat="1" applyFont="1" applyBorder="1" applyAlignment="1" quotePrefix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165" fontId="3" fillId="0" borderId="59" xfId="0" applyNumberFormat="1" applyFont="1" applyFill="1" applyBorder="1" applyAlignment="1">
      <alignment horizontal="right" vertical="center"/>
    </xf>
    <xf numFmtId="165" fontId="3" fillId="37" borderId="33" xfId="0" applyNumberFormat="1" applyFont="1" applyFill="1" applyBorder="1" applyAlignment="1">
      <alignment horizontal="right" vertical="center"/>
    </xf>
    <xf numFmtId="165" fontId="3" fillId="0" borderId="21" xfId="0" applyNumberFormat="1" applyFont="1" applyFill="1" applyBorder="1" applyAlignment="1">
      <alignment horizontal="right" vertical="center"/>
    </xf>
    <xf numFmtId="165" fontId="3" fillId="37" borderId="17" xfId="0" applyNumberFormat="1" applyFont="1" applyFill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165" fontId="3" fillId="36" borderId="11" xfId="0" applyNumberFormat="1" applyFont="1" applyFill="1" applyBorder="1" applyAlignment="1">
      <alignment horizontal="right" vertical="center"/>
    </xf>
    <xf numFmtId="165" fontId="3" fillId="36" borderId="11" xfId="0" applyNumberFormat="1" applyFont="1" applyFill="1" applyBorder="1" applyAlignment="1">
      <alignment horizontal="center" vertical="center"/>
    </xf>
    <xf numFmtId="165" fontId="3" fillId="0" borderId="66" xfId="0" applyNumberFormat="1" applyFont="1" applyFill="1" applyBorder="1" applyAlignment="1">
      <alignment horizontal="right" vertical="center"/>
    </xf>
    <xf numFmtId="165" fontId="3" fillId="37" borderId="11" xfId="0" applyNumberFormat="1" applyFont="1" applyFill="1" applyBorder="1" applyAlignment="1">
      <alignment horizontal="right" vertical="center"/>
    </xf>
    <xf numFmtId="165" fontId="3" fillId="37" borderId="10" xfId="0" applyNumberFormat="1" applyFont="1" applyFill="1" applyBorder="1" applyAlignment="1">
      <alignment horizontal="right" vertical="center"/>
    </xf>
    <xf numFmtId="165" fontId="3" fillId="37" borderId="58" xfId="0" applyNumberFormat="1" applyFont="1" applyFill="1" applyBorder="1" applyAlignment="1">
      <alignment horizontal="right" vertical="center"/>
    </xf>
    <xf numFmtId="165" fontId="3" fillId="37" borderId="16" xfId="0" applyNumberFormat="1" applyFont="1" applyFill="1" applyBorder="1" applyAlignment="1">
      <alignment horizontal="right" vertical="center"/>
    </xf>
    <xf numFmtId="165" fontId="9" fillId="37" borderId="16" xfId="0" applyNumberFormat="1" applyFont="1" applyFill="1" applyBorder="1" applyAlignment="1">
      <alignment horizontal="right" vertical="center"/>
    </xf>
    <xf numFmtId="165" fontId="3" fillId="37" borderId="12" xfId="0" applyNumberFormat="1" applyFont="1" applyFill="1" applyBorder="1" applyAlignment="1">
      <alignment horizontal="right" vertical="center"/>
    </xf>
    <xf numFmtId="165" fontId="3" fillId="0" borderId="12" xfId="0" applyNumberFormat="1" applyFont="1" applyFill="1" applyBorder="1" applyAlignment="1">
      <alignment horizontal="right" vertical="center"/>
    </xf>
    <xf numFmtId="165" fontId="3" fillId="36" borderId="33" xfId="0" applyNumberFormat="1" applyFont="1" applyFill="1" applyBorder="1" applyAlignment="1">
      <alignment horizontal="right" vertical="center"/>
    </xf>
    <xf numFmtId="165" fontId="3" fillId="0" borderId="33" xfId="0" applyNumberFormat="1" applyFont="1" applyFill="1" applyBorder="1" applyAlignment="1">
      <alignment horizontal="right" vertical="center"/>
    </xf>
    <xf numFmtId="165" fontId="3" fillId="37" borderId="33" xfId="0" applyNumberFormat="1" applyFont="1" applyFill="1" applyBorder="1" applyAlignment="1">
      <alignment horizontal="right" vertical="center"/>
    </xf>
    <xf numFmtId="165" fontId="3" fillId="0" borderId="67" xfId="0" applyNumberFormat="1" applyFont="1" applyFill="1" applyBorder="1" applyAlignment="1">
      <alignment horizontal="right" vertical="center"/>
    </xf>
    <xf numFmtId="165" fontId="3" fillId="0" borderId="67" xfId="0" applyNumberFormat="1" applyFont="1" applyBorder="1" applyAlignment="1">
      <alignment vertical="center"/>
    </xf>
    <xf numFmtId="164" fontId="3" fillId="36" borderId="0" xfId="0" applyNumberFormat="1" applyFont="1" applyFill="1" applyBorder="1" applyAlignment="1" quotePrefix="1">
      <alignment horizontal="right" vertical="center"/>
    </xf>
    <xf numFmtId="164" fontId="3" fillId="0" borderId="0" xfId="0" applyNumberFormat="1" applyFont="1" applyBorder="1" applyAlignment="1" quotePrefix="1">
      <alignment horizontal="right" vertical="center"/>
    </xf>
    <xf numFmtId="165" fontId="3" fillId="0" borderId="17" xfId="0" applyNumberFormat="1" applyFont="1" applyFill="1" applyBorder="1" applyAlignment="1" quotePrefix="1">
      <alignment horizontal="right" vertical="center"/>
    </xf>
    <xf numFmtId="0" fontId="13" fillId="35" borderId="16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center" vertical="top" wrapText="1"/>
    </xf>
    <xf numFmtId="0" fontId="0" fillId="0" borderId="55" xfId="0" applyFill="1" applyBorder="1" applyAlignment="1">
      <alignment/>
    </xf>
    <xf numFmtId="0" fontId="0" fillId="37" borderId="55" xfId="0" applyFill="1" applyBorder="1" applyAlignment="1">
      <alignment/>
    </xf>
    <xf numFmtId="0" fontId="4" fillId="36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1" fontId="4" fillId="35" borderId="58" xfId="0" applyNumberFormat="1" applyFont="1" applyFill="1" applyBorder="1" applyAlignment="1">
      <alignment horizontal="center" vertical="center"/>
    </xf>
    <xf numFmtId="1" fontId="4" fillId="35" borderId="16" xfId="0" applyNumberFormat="1" applyFont="1" applyFill="1" applyBorder="1" applyAlignment="1">
      <alignment horizontal="center" vertical="center"/>
    </xf>
    <xf numFmtId="1" fontId="4" fillId="36" borderId="13" xfId="0" applyNumberFormat="1" applyFont="1" applyFill="1" applyBorder="1" applyAlignment="1">
      <alignment horizontal="center" vertical="center"/>
    </xf>
    <xf numFmtId="165" fontId="4" fillId="36" borderId="18" xfId="0" applyNumberFormat="1" applyFont="1" applyFill="1" applyBorder="1" applyAlignment="1">
      <alignment vertical="center"/>
    </xf>
    <xf numFmtId="165" fontId="4" fillId="36" borderId="19" xfId="0" applyNumberFormat="1" applyFont="1" applyFill="1" applyBorder="1" applyAlignment="1">
      <alignment vertical="center"/>
    </xf>
    <xf numFmtId="165" fontId="4" fillId="36" borderId="19" xfId="0" applyNumberFormat="1" applyFont="1" applyFill="1" applyBorder="1" applyAlignment="1">
      <alignment horizontal="right" vertical="center"/>
    </xf>
    <xf numFmtId="165" fontId="4" fillId="36" borderId="68" xfId="0" applyNumberFormat="1" applyFont="1" applyFill="1" applyBorder="1" applyAlignment="1">
      <alignment horizontal="right" vertical="center"/>
    </xf>
    <xf numFmtId="165" fontId="10" fillId="36" borderId="19" xfId="0" applyNumberFormat="1" applyFont="1" applyFill="1" applyBorder="1" applyAlignment="1">
      <alignment vertical="center"/>
    </xf>
    <xf numFmtId="165" fontId="10" fillId="36" borderId="68" xfId="0" applyNumberFormat="1" applyFont="1" applyFill="1" applyBorder="1" applyAlignment="1">
      <alignment vertical="center"/>
    </xf>
    <xf numFmtId="164" fontId="4" fillId="36" borderId="19" xfId="0" applyNumberFormat="1" applyFont="1" applyFill="1" applyBorder="1" applyAlignment="1">
      <alignment horizontal="right" vertical="center"/>
    </xf>
    <xf numFmtId="0" fontId="4" fillId="36" borderId="57" xfId="0" applyFont="1" applyFill="1" applyBorder="1" applyAlignment="1">
      <alignment horizontal="center" vertical="center"/>
    </xf>
    <xf numFmtId="1" fontId="4" fillId="36" borderId="17" xfId="0" applyNumberFormat="1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 quotePrefix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67" fontId="3" fillId="0" borderId="23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165" fontId="4" fillId="36" borderId="18" xfId="0" applyNumberFormat="1" applyFont="1" applyFill="1" applyBorder="1" applyAlignment="1">
      <alignment horizontal="right" vertical="center"/>
    </xf>
    <xf numFmtId="165" fontId="4" fillId="36" borderId="19" xfId="0" applyNumberFormat="1" applyFont="1" applyFill="1" applyBorder="1" applyAlignment="1">
      <alignment horizontal="right" vertical="center"/>
    </xf>
    <xf numFmtId="165" fontId="10" fillId="36" borderId="19" xfId="0" applyNumberFormat="1" applyFont="1" applyFill="1" applyBorder="1" applyAlignment="1">
      <alignment horizontal="right" vertical="center"/>
    </xf>
    <xf numFmtId="165" fontId="10" fillId="36" borderId="20" xfId="0" applyNumberFormat="1" applyFont="1" applyFill="1" applyBorder="1" applyAlignment="1">
      <alignment horizontal="right" vertical="center"/>
    </xf>
    <xf numFmtId="0" fontId="4" fillId="36" borderId="20" xfId="0" applyFont="1" applyFill="1" applyBorder="1" applyAlignment="1">
      <alignment horizontal="center" vertical="center"/>
    </xf>
    <xf numFmtId="0" fontId="4" fillId="37" borderId="58" xfId="0" applyFont="1" applyFill="1" applyBorder="1" applyAlignment="1">
      <alignment horizontal="center" vertical="center"/>
    </xf>
    <xf numFmtId="165" fontId="9" fillId="37" borderId="58" xfId="0" applyNumberFormat="1" applyFont="1" applyFill="1" applyBorder="1" applyAlignment="1">
      <alignment horizontal="right" vertical="center"/>
    </xf>
    <xf numFmtId="165" fontId="9" fillId="0" borderId="58" xfId="0" applyNumberFormat="1" applyFont="1" applyFill="1" applyBorder="1" applyAlignment="1">
      <alignment horizontal="right" vertical="center"/>
    </xf>
    <xf numFmtId="165" fontId="3" fillId="0" borderId="69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vertical="top"/>
    </xf>
    <xf numFmtId="165" fontId="3" fillId="37" borderId="15" xfId="0" applyNumberFormat="1" applyFont="1" applyFill="1" applyBorder="1" applyAlignment="1">
      <alignment horizontal="right" vertical="center"/>
    </xf>
    <xf numFmtId="165" fontId="4" fillId="36" borderId="18" xfId="0" applyNumberFormat="1" applyFont="1" applyFill="1" applyBorder="1" applyAlignment="1">
      <alignment horizontal="right" vertical="center"/>
    </xf>
    <xf numFmtId="165" fontId="4" fillId="36" borderId="5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2" fillId="0" borderId="0" xfId="0" applyFont="1" applyAlignment="1" quotePrefix="1">
      <alignment horizontal="left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65" fontId="3" fillId="37" borderId="0" xfId="0" applyNumberFormat="1" applyFont="1" applyFill="1" applyBorder="1" applyAlignment="1">
      <alignment horizontal="center" vertical="center"/>
    </xf>
    <xf numFmtId="165" fontId="3" fillId="37" borderId="33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35" borderId="16" xfId="0" applyFont="1" applyFill="1" applyBorder="1" applyAlignment="1">
      <alignment vertical="center"/>
    </xf>
    <xf numFmtId="0" fontId="8" fillId="35" borderId="14" xfId="0" applyFont="1" applyFill="1" applyBorder="1" applyAlignment="1">
      <alignment vertical="center"/>
    </xf>
    <xf numFmtId="0" fontId="13" fillId="35" borderId="70" xfId="0" applyFont="1" applyFill="1" applyBorder="1" applyAlignment="1">
      <alignment horizontal="center" vertical="center" wrapText="1"/>
    </xf>
    <xf numFmtId="0" fontId="13" fillId="35" borderId="4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8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5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te" xfId="64"/>
    <cellStyle name="Output" xfId="65"/>
    <cellStyle name="Percent" xfId="66"/>
    <cellStyle name="Standard_E00seit45" xfId="67"/>
    <cellStyle name="Title" xfId="68"/>
    <cellStyle name="Titre ligne" xfId="69"/>
    <cellStyle name="Total" xfId="70"/>
    <cellStyle name="Total intermediaire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0.85546875" style="4" customWidth="1"/>
    <col min="2" max="2" width="5.421875" style="126" customWidth="1"/>
    <col min="3" max="3" width="2.00390625" style="127" customWidth="1"/>
    <col min="4" max="4" width="51.57421875" style="4" customWidth="1"/>
    <col min="5" max="5" width="8.57421875" style="4" customWidth="1"/>
    <col min="6" max="16384" width="9.140625" style="4" customWidth="1"/>
  </cols>
  <sheetData>
    <row r="1" spans="2:5" ht="19.5" customHeight="1">
      <c r="B1" s="392" t="s">
        <v>74</v>
      </c>
      <c r="C1" s="392"/>
      <c r="D1" s="392"/>
      <c r="E1" s="392"/>
    </row>
    <row r="2" spans="2:5" ht="19.5" customHeight="1">
      <c r="B2" s="393" t="s">
        <v>75</v>
      </c>
      <c r="C2" s="393"/>
      <c r="D2" s="393"/>
      <c r="E2" s="393"/>
    </row>
    <row r="3" spans="2:5" ht="19.5" customHeight="1">
      <c r="B3" s="394" t="s">
        <v>105</v>
      </c>
      <c r="C3" s="394"/>
      <c r="D3" s="394"/>
      <c r="E3" s="394"/>
    </row>
    <row r="4" spans="2:5" ht="19.5" customHeight="1">
      <c r="B4" s="395" t="s">
        <v>76</v>
      </c>
      <c r="C4" s="395"/>
      <c r="D4" s="395"/>
      <c r="E4" s="395"/>
    </row>
    <row r="5" spans="2:5" ht="19.5" customHeight="1">
      <c r="B5" s="81"/>
      <c r="C5" s="81"/>
      <c r="D5" s="81"/>
      <c r="E5" s="81"/>
    </row>
    <row r="6" ht="19.5" customHeight="1"/>
    <row r="7" spans="2:5" ht="19.5" customHeight="1">
      <c r="B7" s="392" t="s">
        <v>116</v>
      </c>
      <c r="C7" s="392"/>
      <c r="D7" s="392"/>
      <c r="E7" s="392"/>
    </row>
    <row r="8" spans="2:5" ht="19.5" customHeight="1">
      <c r="B8" s="391">
        <v>2018</v>
      </c>
      <c r="C8" s="391"/>
      <c r="D8" s="391"/>
      <c r="E8" s="391"/>
    </row>
    <row r="9" spans="2:5" ht="19.5" customHeight="1">
      <c r="B9" s="87"/>
      <c r="C9" s="87"/>
      <c r="D9" s="87"/>
      <c r="E9" s="87"/>
    </row>
    <row r="10" spans="2:5" ht="19.5" customHeight="1">
      <c r="B10" s="396" t="s">
        <v>117</v>
      </c>
      <c r="C10" s="396"/>
      <c r="D10" s="396"/>
      <c r="E10" s="396"/>
    </row>
    <row r="11" spans="2:5" ht="19.5" customHeight="1">
      <c r="B11" s="128"/>
      <c r="E11" s="128"/>
    </row>
    <row r="12" spans="2:5" ht="19.5" customHeight="1">
      <c r="B12" s="390" t="s">
        <v>106</v>
      </c>
      <c r="C12" s="390"/>
      <c r="D12" s="390"/>
      <c r="E12" s="390"/>
    </row>
    <row r="13" spans="2:5" ht="19.5" customHeight="1">
      <c r="B13" s="390" t="s">
        <v>72</v>
      </c>
      <c r="C13" s="390"/>
      <c r="D13" s="390"/>
      <c r="E13" s="390"/>
    </row>
    <row r="14" spans="2:5" ht="19.5" customHeight="1">
      <c r="B14" s="128"/>
      <c r="D14"/>
      <c r="E14" s="128"/>
    </row>
    <row r="15" spans="2:5" ht="19.5" customHeight="1">
      <c r="B15" s="128"/>
      <c r="E15" s="128"/>
    </row>
    <row r="16" spans="2:5" ht="15" customHeight="1">
      <c r="B16" s="129" t="s">
        <v>107</v>
      </c>
      <c r="C16" s="130"/>
      <c r="D16" s="132" t="s">
        <v>89</v>
      </c>
      <c r="E16" s="128"/>
    </row>
    <row r="17" spans="2:5" ht="15" customHeight="1">
      <c r="B17" s="129" t="s">
        <v>108</v>
      </c>
      <c r="C17" s="130"/>
      <c r="D17" s="131" t="s">
        <v>79</v>
      </c>
      <c r="E17" s="128"/>
    </row>
    <row r="18" spans="2:5" ht="15" customHeight="1">
      <c r="B18" s="129" t="s">
        <v>109</v>
      </c>
      <c r="C18" s="130"/>
      <c r="D18" s="132" t="s">
        <v>90</v>
      </c>
      <c r="E18" s="128"/>
    </row>
    <row r="19" spans="2:5" ht="15" customHeight="1">
      <c r="B19" s="129" t="s">
        <v>110</v>
      </c>
      <c r="C19" s="130"/>
      <c r="D19" s="132" t="s">
        <v>91</v>
      </c>
      <c r="E19" s="128"/>
    </row>
    <row r="20" spans="2:4" ht="15" customHeight="1">
      <c r="B20" s="129" t="s">
        <v>111</v>
      </c>
      <c r="C20" s="130"/>
      <c r="D20" s="131" t="s">
        <v>92</v>
      </c>
    </row>
    <row r="21" spans="2:5" ht="15" customHeight="1">
      <c r="B21" s="129" t="s">
        <v>112</v>
      </c>
      <c r="C21" s="130"/>
      <c r="D21" s="131" t="s">
        <v>85</v>
      </c>
      <c r="E21"/>
    </row>
    <row r="22" spans="2:5" ht="15" customHeight="1">
      <c r="B22" s="129" t="s">
        <v>113</v>
      </c>
      <c r="C22" s="130"/>
      <c r="D22" s="132" t="s">
        <v>93</v>
      </c>
      <c r="E22" s="128"/>
    </row>
    <row r="23" spans="2:5" ht="15" customHeight="1">
      <c r="B23" s="129" t="s">
        <v>114</v>
      </c>
      <c r="C23" s="130"/>
      <c r="D23" s="132" t="s">
        <v>94</v>
      </c>
      <c r="E23" s="128"/>
    </row>
    <row r="24" spans="2:5" ht="12.75">
      <c r="B24" s="128"/>
      <c r="E24" s="128"/>
    </row>
    <row r="25" ht="12.75">
      <c r="C25"/>
    </row>
    <row r="26" spans="2:5" ht="12.75">
      <c r="B26"/>
      <c r="C26"/>
      <c r="D26"/>
      <c r="E26"/>
    </row>
    <row r="27" spans="2:5" ht="13.5">
      <c r="B27" s="133"/>
      <c r="E27"/>
    </row>
    <row r="28" spans="2:5" ht="12.75">
      <c r="B28" s="128"/>
      <c r="E28" s="128"/>
    </row>
    <row r="29" spans="2:5" ht="12.75">
      <c r="B29" s="128"/>
      <c r="E29" s="128"/>
    </row>
    <row r="30" spans="2:5" ht="12.75">
      <c r="B30" s="128"/>
      <c r="E30" s="128"/>
    </row>
    <row r="31" spans="2:5" ht="12.75">
      <c r="B31" s="128"/>
      <c r="E31" s="128"/>
    </row>
    <row r="32" spans="2:5" ht="12.75">
      <c r="B32" s="128"/>
      <c r="E32" s="128"/>
    </row>
    <row r="33" spans="2:5" ht="12.75">
      <c r="B33" s="128"/>
      <c r="E33" s="128"/>
    </row>
    <row r="34" spans="2:5" ht="12.75">
      <c r="B34" s="128"/>
      <c r="E34" s="128"/>
    </row>
    <row r="36" spans="2:5" ht="13.5">
      <c r="B36" s="133"/>
      <c r="E36"/>
    </row>
    <row r="37" spans="2:5" ht="12.75">
      <c r="B37" s="128"/>
      <c r="E37" s="128"/>
    </row>
    <row r="38" spans="2:5" ht="12.75">
      <c r="B38" s="128"/>
      <c r="E38" s="128"/>
    </row>
    <row r="39" spans="2:5" ht="12.75">
      <c r="B39" s="128"/>
      <c r="E39" s="128"/>
    </row>
    <row r="46" spans="3:4" ht="12.75">
      <c r="C46" s="134"/>
      <c r="D46" s="135"/>
    </row>
    <row r="53" ht="12.75"/>
    <row r="56" spans="3:5" ht="12.75">
      <c r="C56"/>
      <c r="D56"/>
      <c r="E56"/>
    </row>
  </sheetData>
  <sheetProtection/>
  <mergeCells count="9">
    <mergeCell ref="B12:E12"/>
    <mergeCell ref="B13:E13"/>
    <mergeCell ref="B8:E8"/>
    <mergeCell ref="B7:E7"/>
    <mergeCell ref="B1:E1"/>
    <mergeCell ref="B2:E2"/>
    <mergeCell ref="B3:E3"/>
    <mergeCell ref="B4:E4"/>
    <mergeCell ref="B10:E10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9"/>
  <sheetViews>
    <sheetView zoomScalePageLayoutView="0" workbookViewId="0" topLeftCell="A15">
      <selection activeCell="AJ43" sqref="AJ43"/>
    </sheetView>
  </sheetViews>
  <sheetFormatPr defaultColWidth="9.140625" defaultRowHeight="12.75"/>
  <cols>
    <col min="1" max="1" width="2.7109375" style="2" customWidth="1"/>
    <col min="2" max="2" width="3.8515625" style="2" customWidth="1"/>
    <col min="3" max="4" width="6.7109375" style="2" hidden="1" customWidth="1"/>
    <col min="5" max="5" width="6.140625" style="2" customWidth="1"/>
    <col min="6" max="9" width="6.28125" style="2" customWidth="1"/>
    <col min="10" max="13" width="6.140625" style="2" customWidth="1"/>
    <col min="14" max="14" width="6.57421875" style="2" customWidth="1"/>
    <col min="15" max="22" width="6.140625" style="2" customWidth="1"/>
    <col min="23" max="31" width="6.421875" style="2" customWidth="1"/>
    <col min="32" max="16384" width="9.140625" style="2" customWidth="1"/>
  </cols>
  <sheetData>
    <row r="1" spans="2:32" ht="14.25" customHeight="1">
      <c r="B1" s="397"/>
      <c r="C1" s="397"/>
      <c r="D1" s="28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AF1" s="18" t="s">
        <v>107</v>
      </c>
    </row>
    <row r="2" spans="2:32" ht="30" customHeight="1">
      <c r="B2" s="400" t="s">
        <v>21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</row>
    <row r="3" spans="2:32" ht="15" customHeight="1">
      <c r="B3" s="395" t="s">
        <v>22</v>
      </c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5"/>
      <c r="AC3" s="395"/>
      <c r="AD3" s="395"/>
      <c r="AE3" s="395"/>
      <c r="AF3" s="395"/>
    </row>
    <row r="4" spans="2:32" ht="12.75">
      <c r="B4" s="3"/>
      <c r="C4" s="3"/>
      <c r="E4" s="22"/>
      <c r="F4" s="22"/>
      <c r="G4" s="22"/>
      <c r="H4" s="22"/>
      <c r="I4" s="22"/>
      <c r="J4" s="23"/>
      <c r="K4" s="23"/>
      <c r="L4" s="23"/>
      <c r="M4" s="23"/>
      <c r="N4" s="23"/>
      <c r="O4" s="23"/>
      <c r="V4" s="31"/>
      <c r="W4" s="80"/>
      <c r="X4" s="80"/>
      <c r="Y4" s="80"/>
      <c r="Z4" s="80"/>
      <c r="AA4" s="80"/>
      <c r="AB4" s="80"/>
      <c r="AC4" s="80"/>
      <c r="AD4" s="80"/>
      <c r="AE4" s="80" t="s">
        <v>5</v>
      </c>
      <c r="AF4" s="80"/>
    </row>
    <row r="5" spans="2:32" ht="24.75" customHeight="1">
      <c r="B5" s="164"/>
      <c r="C5" s="48">
        <v>1970</v>
      </c>
      <c r="D5" s="49">
        <v>1980</v>
      </c>
      <c r="E5" s="49">
        <v>1990</v>
      </c>
      <c r="F5" s="49">
        <v>1991</v>
      </c>
      <c r="G5" s="49">
        <v>1992</v>
      </c>
      <c r="H5" s="49">
        <v>1993</v>
      </c>
      <c r="I5" s="49">
        <v>1994</v>
      </c>
      <c r="J5" s="49">
        <v>1995</v>
      </c>
      <c r="K5" s="49">
        <v>1996</v>
      </c>
      <c r="L5" s="49">
        <v>1997</v>
      </c>
      <c r="M5" s="49">
        <v>1998</v>
      </c>
      <c r="N5" s="49">
        <v>1999</v>
      </c>
      <c r="O5" s="49">
        <v>2000</v>
      </c>
      <c r="P5" s="49">
        <v>2001</v>
      </c>
      <c r="Q5" s="49">
        <v>2002</v>
      </c>
      <c r="R5" s="49">
        <v>2003</v>
      </c>
      <c r="S5" s="49">
        <v>2004</v>
      </c>
      <c r="T5" s="49">
        <v>2005</v>
      </c>
      <c r="U5" s="49">
        <v>2006</v>
      </c>
      <c r="V5" s="49">
        <v>2007</v>
      </c>
      <c r="W5" s="49">
        <v>2008</v>
      </c>
      <c r="X5" s="49">
        <v>2009</v>
      </c>
      <c r="Y5" s="49">
        <v>2010</v>
      </c>
      <c r="Z5" s="49">
        <v>2011</v>
      </c>
      <c r="AA5" s="49">
        <v>2012</v>
      </c>
      <c r="AB5" s="49">
        <v>2013</v>
      </c>
      <c r="AC5" s="359">
        <v>2014</v>
      </c>
      <c r="AD5" s="359">
        <v>2015</v>
      </c>
      <c r="AE5" s="358">
        <v>2016</v>
      </c>
      <c r="AF5" s="7"/>
    </row>
    <row r="6" spans="2:32" ht="12.75" customHeight="1">
      <c r="B6" s="368" t="s">
        <v>124</v>
      </c>
      <c r="C6" s="377"/>
      <c r="D6" s="378"/>
      <c r="E6" s="378">
        <f aca="true" t="shared" si="0" ref="E6:AE6">SUM(E7:E34)</f>
        <v>42176</v>
      </c>
      <c r="F6" s="378">
        <f t="shared" si="0"/>
        <v>43211</v>
      </c>
      <c r="G6" s="378">
        <f t="shared" si="0"/>
        <v>45285</v>
      </c>
      <c r="H6" s="378">
        <f t="shared" si="0"/>
        <v>46207.92</v>
      </c>
      <c r="I6" s="378">
        <f t="shared" si="0"/>
        <v>46897.16</v>
      </c>
      <c r="J6" s="379">
        <f t="shared" si="0"/>
        <v>48268.81</v>
      </c>
      <c r="K6" s="379">
        <f t="shared" si="0"/>
        <v>49364.29</v>
      </c>
      <c r="L6" s="379">
        <f t="shared" si="0"/>
        <v>50728.490000000005</v>
      </c>
      <c r="M6" s="379">
        <f t="shared" si="0"/>
        <v>52631.049999999996</v>
      </c>
      <c r="N6" s="379">
        <f t="shared" si="0"/>
        <v>54282.74</v>
      </c>
      <c r="O6" s="379">
        <f t="shared" si="0"/>
        <v>55110.99</v>
      </c>
      <c r="P6" s="379">
        <f t="shared" si="0"/>
        <v>56829.39</v>
      </c>
      <c r="Q6" s="379">
        <f t="shared" si="0"/>
        <v>58122.09</v>
      </c>
      <c r="R6" s="379">
        <f t="shared" si="0"/>
        <v>59536.59</v>
      </c>
      <c r="S6" s="379">
        <f t="shared" si="0"/>
        <v>61235.685</v>
      </c>
      <c r="T6" s="379">
        <f t="shared" si="0"/>
        <v>63106.695</v>
      </c>
      <c r="U6" s="379">
        <f t="shared" si="0"/>
        <v>64718.145</v>
      </c>
      <c r="V6" s="379">
        <f t="shared" si="0"/>
        <v>66275.182</v>
      </c>
      <c r="W6" s="379">
        <f t="shared" si="0"/>
        <v>67814.299</v>
      </c>
      <c r="X6" s="379">
        <f t="shared" si="0"/>
        <v>69966.09</v>
      </c>
      <c r="Y6" s="379">
        <f t="shared" si="0"/>
        <v>71121.70499999999</v>
      </c>
      <c r="Z6" s="379">
        <f t="shared" si="0"/>
        <v>71804.107</v>
      </c>
      <c r="AA6" s="379">
        <f t="shared" si="0"/>
        <v>73031.02699999999</v>
      </c>
      <c r="AB6" s="379">
        <f t="shared" si="0"/>
        <v>74317.727</v>
      </c>
      <c r="AC6" s="379">
        <f t="shared" si="0"/>
        <v>74840.326</v>
      </c>
      <c r="AD6" s="379">
        <f t="shared" si="0"/>
        <v>75819.837</v>
      </c>
      <c r="AE6" s="380">
        <f t="shared" si="0"/>
        <v>76822.65099999998</v>
      </c>
      <c r="AF6" s="381" t="s">
        <v>124</v>
      </c>
    </row>
    <row r="7" spans="2:32" ht="12.75" customHeight="1">
      <c r="B7" s="10" t="s">
        <v>45</v>
      </c>
      <c r="C7" s="45">
        <v>488</v>
      </c>
      <c r="D7" s="42">
        <v>1203</v>
      </c>
      <c r="E7" s="42">
        <v>1666</v>
      </c>
      <c r="F7" s="42">
        <v>1650</v>
      </c>
      <c r="G7" s="42">
        <v>1658</v>
      </c>
      <c r="H7" s="42">
        <v>1665</v>
      </c>
      <c r="I7" s="42">
        <v>1666</v>
      </c>
      <c r="J7" s="42">
        <v>1666</v>
      </c>
      <c r="K7" s="42">
        <v>1674</v>
      </c>
      <c r="L7" s="42">
        <v>1678.9</v>
      </c>
      <c r="M7" s="42">
        <v>1682.1</v>
      </c>
      <c r="N7" s="42">
        <v>1691.1</v>
      </c>
      <c r="O7" s="42">
        <v>1702.1</v>
      </c>
      <c r="P7" s="42">
        <v>1726.7</v>
      </c>
      <c r="Q7" s="42">
        <v>1729</v>
      </c>
      <c r="R7" s="42">
        <v>1729</v>
      </c>
      <c r="S7" s="42">
        <v>1747</v>
      </c>
      <c r="T7" s="138">
        <v>1747</v>
      </c>
      <c r="U7" s="42">
        <v>1763</v>
      </c>
      <c r="V7" s="42">
        <v>1763</v>
      </c>
      <c r="W7" s="42">
        <v>1763</v>
      </c>
      <c r="X7" s="42">
        <v>1763</v>
      </c>
      <c r="Y7" s="42">
        <v>1763</v>
      </c>
      <c r="Z7" s="228">
        <v>1763</v>
      </c>
      <c r="AA7" s="228">
        <v>1763</v>
      </c>
      <c r="AB7" s="228">
        <v>1763</v>
      </c>
      <c r="AC7" s="228">
        <v>1763</v>
      </c>
      <c r="AD7" s="228">
        <v>1763</v>
      </c>
      <c r="AE7" s="384">
        <v>1763</v>
      </c>
      <c r="AF7" s="356" t="s">
        <v>45</v>
      </c>
    </row>
    <row r="8" spans="2:32" ht="12.75" customHeight="1">
      <c r="B8" s="52" t="s">
        <v>28</v>
      </c>
      <c r="C8" s="88"/>
      <c r="D8" s="89"/>
      <c r="E8" s="89">
        <v>273</v>
      </c>
      <c r="F8" s="90">
        <v>273</v>
      </c>
      <c r="G8" s="90">
        <v>273</v>
      </c>
      <c r="H8" s="89">
        <v>276</v>
      </c>
      <c r="I8" s="89">
        <v>276</v>
      </c>
      <c r="J8" s="89">
        <v>277</v>
      </c>
      <c r="K8" s="89">
        <v>277</v>
      </c>
      <c r="L8" s="89">
        <v>314</v>
      </c>
      <c r="M8" s="89">
        <v>314</v>
      </c>
      <c r="N8" s="89">
        <v>314</v>
      </c>
      <c r="O8" s="89">
        <v>319</v>
      </c>
      <c r="P8" s="89">
        <v>324</v>
      </c>
      <c r="Q8" s="89">
        <v>324</v>
      </c>
      <c r="R8" s="89">
        <v>328</v>
      </c>
      <c r="S8" s="89">
        <v>331</v>
      </c>
      <c r="T8" s="137">
        <v>331</v>
      </c>
      <c r="U8" s="89">
        <v>394</v>
      </c>
      <c r="V8" s="89">
        <v>418</v>
      </c>
      <c r="W8" s="89">
        <v>418</v>
      </c>
      <c r="X8" s="89">
        <v>418</v>
      </c>
      <c r="Y8" s="89">
        <v>437</v>
      </c>
      <c r="Z8" s="89">
        <v>458</v>
      </c>
      <c r="AA8" s="89">
        <v>541</v>
      </c>
      <c r="AB8" s="89">
        <v>605</v>
      </c>
      <c r="AC8" s="89">
        <v>610</v>
      </c>
      <c r="AD8" s="89">
        <v>734</v>
      </c>
      <c r="AE8" s="343">
        <v>740</v>
      </c>
      <c r="AF8" s="355" t="s">
        <v>28</v>
      </c>
    </row>
    <row r="9" spans="1:32" ht="12.75" customHeight="1">
      <c r="A9" s="8"/>
      <c r="B9" s="10" t="s">
        <v>30</v>
      </c>
      <c r="C9" s="46"/>
      <c r="D9" s="47"/>
      <c r="E9" s="42">
        <v>357</v>
      </c>
      <c r="F9" s="42">
        <v>362</v>
      </c>
      <c r="G9" s="42">
        <v>366</v>
      </c>
      <c r="H9" s="42">
        <v>390</v>
      </c>
      <c r="I9" s="42">
        <v>392</v>
      </c>
      <c r="J9" s="42">
        <v>414</v>
      </c>
      <c r="K9" s="42">
        <v>423</v>
      </c>
      <c r="L9" s="42">
        <v>486</v>
      </c>
      <c r="M9" s="42">
        <v>499</v>
      </c>
      <c r="N9" s="42">
        <v>499</v>
      </c>
      <c r="O9" s="42">
        <v>501</v>
      </c>
      <c r="P9" s="42">
        <v>517</v>
      </c>
      <c r="Q9" s="42">
        <v>518</v>
      </c>
      <c r="R9" s="42">
        <v>518</v>
      </c>
      <c r="S9" s="42">
        <v>546</v>
      </c>
      <c r="T9" s="138">
        <v>564</v>
      </c>
      <c r="U9" s="42">
        <v>633</v>
      </c>
      <c r="V9" s="42">
        <v>657</v>
      </c>
      <c r="W9" s="42">
        <v>691</v>
      </c>
      <c r="X9" s="42">
        <v>729</v>
      </c>
      <c r="Y9" s="42">
        <v>734</v>
      </c>
      <c r="Z9" s="42">
        <v>745</v>
      </c>
      <c r="AA9" s="42">
        <v>751</v>
      </c>
      <c r="AB9" s="42">
        <v>775.8</v>
      </c>
      <c r="AC9" s="42">
        <v>776</v>
      </c>
      <c r="AD9" s="42">
        <v>776</v>
      </c>
      <c r="AE9" s="385">
        <v>1222.7</v>
      </c>
      <c r="AF9" s="356" t="s">
        <v>30</v>
      </c>
    </row>
    <row r="10" spans="1:32" ht="12.75" customHeight="1">
      <c r="A10" s="8"/>
      <c r="B10" s="52" t="s">
        <v>41</v>
      </c>
      <c r="C10" s="88">
        <v>184</v>
      </c>
      <c r="D10" s="89">
        <v>516</v>
      </c>
      <c r="E10" s="89">
        <v>611</v>
      </c>
      <c r="F10" s="89">
        <v>663</v>
      </c>
      <c r="G10" s="89">
        <v>663</v>
      </c>
      <c r="H10" s="89">
        <v>706</v>
      </c>
      <c r="I10" s="89">
        <v>747</v>
      </c>
      <c r="J10" s="89">
        <v>796</v>
      </c>
      <c r="K10" s="89">
        <v>797</v>
      </c>
      <c r="L10" s="89">
        <v>834</v>
      </c>
      <c r="M10" s="89">
        <v>863</v>
      </c>
      <c r="N10" s="89">
        <v>902</v>
      </c>
      <c r="O10" s="89">
        <v>923</v>
      </c>
      <c r="P10" s="89">
        <v>978</v>
      </c>
      <c r="Q10" s="89">
        <v>972</v>
      </c>
      <c r="R10" s="89">
        <v>1010</v>
      </c>
      <c r="S10" s="89">
        <v>1027</v>
      </c>
      <c r="T10" s="137">
        <v>1032</v>
      </c>
      <c r="U10" s="89">
        <v>1032</v>
      </c>
      <c r="V10" s="89">
        <v>1111</v>
      </c>
      <c r="W10" s="89">
        <v>1128</v>
      </c>
      <c r="X10" s="89">
        <v>1130</v>
      </c>
      <c r="Y10" s="89">
        <v>1130</v>
      </c>
      <c r="Z10" s="89">
        <v>1143</v>
      </c>
      <c r="AA10" s="89">
        <v>1195</v>
      </c>
      <c r="AB10" s="89">
        <v>1216</v>
      </c>
      <c r="AC10" s="89">
        <v>1232</v>
      </c>
      <c r="AD10" s="89">
        <v>1237</v>
      </c>
      <c r="AE10" s="343">
        <v>1255</v>
      </c>
      <c r="AF10" s="355" t="s">
        <v>41</v>
      </c>
    </row>
    <row r="11" spans="1:32" ht="12.75" customHeight="1">
      <c r="A11" s="8"/>
      <c r="B11" s="10" t="s">
        <v>46</v>
      </c>
      <c r="C11" s="45">
        <v>6061</v>
      </c>
      <c r="D11" s="42">
        <v>9225</v>
      </c>
      <c r="E11" s="42">
        <v>10854</v>
      </c>
      <c r="F11" s="42">
        <v>10955</v>
      </c>
      <c r="G11" s="42">
        <v>11013</v>
      </c>
      <c r="H11" s="42">
        <v>11080</v>
      </c>
      <c r="I11" s="42">
        <v>11143</v>
      </c>
      <c r="J11" s="42">
        <v>11190</v>
      </c>
      <c r="K11" s="42">
        <v>11246</v>
      </c>
      <c r="L11" s="42">
        <v>11309</v>
      </c>
      <c r="M11" s="42">
        <v>11427</v>
      </c>
      <c r="N11" s="42">
        <v>11515</v>
      </c>
      <c r="O11" s="42">
        <v>11712</v>
      </c>
      <c r="P11" s="42">
        <v>11786</v>
      </c>
      <c r="Q11" s="42">
        <v>12037</v>
      </c>
      <c r="R11" s="42">
        <v>12044</v>
      </c>
      <c r="S11" s="42">
        <v>12174</v>
      </c>
      <c r="T11" s="138">
        <v>12363</v>
      </c>
      <c r="U11" s="42">
        <v>12531</v>
      </c>
      <c r="V11" s="42">
        <v>12594</v>
      </c>
      <c r="W11" s="42">
        <v>12645</v>
      </c>
      <c r="X11" s="42">
        <v>12813</v>
      </c>
      <c r="Y11" s="42">
        <v>12819</v>
      </c>
      <c r="Z11" s="42">
        <v>12845</v>
      </c>
      <c r="AA11" s="42">
        <v>12879</v>
      </c>
      <c r="AB11" s="42">
        <v>12917</v>
      </c>
      <c r="AC11" s="42">
        <v>12949</v>
      </c>
      <c r="AD11" s="42">
        <v>12993</v>
      </c>
      <c r="AE11" s="344">
        <v>12996</v>
      </c>
      <c r="AF11" s="356" t="s">
        <v>46</v>
      </c>
    </row>
    <row r="12" spans="1:32" ht="12.75" customHeight="1">
      <c r="A12" s="8"/>
      <c r="B12" s="52" t="s">
        <v>31</v>
      </c>
      <c r="C12" s="88"/>
      <c r="D12" s="89"/>
      <c r="E12" s="89">
        <v>41</v>
      </c>
      <c r="F12" s="89">
        <v>50</v>
      </c>
      <c r="G12" s="89">
        <v>60</v>
      </c>
      <c r="H12" s="89">
        <v>62</v>
      </c>
      <c r="I12" s="89">
        <v>64</v>
      </c>
      <c r="J12" s="89">
        <v>65</v>
      </c>
      <c r="K12" s="89">
        <v>65</v>
      </c>
      <c r="L12" s="89">
        <v>68</v>
      </c>
      <c r="M12" s="89">
        <v>74</v>
      </c>
      <c r="N12" s="89">
        <v>87</v>
      </c>
      <c r="O12" s="89">
        <v>93</v>
      </c>
      <c r="P12" s="89">
        <v>93</v>
      </c>
      <c r="Q12" s="89">
        <v>98</v>
      </c>
      <c r="R12" s="89">
        <v>98</v>
      </c>
      <c r="S12" s="89">
        <v>96</v>
      </c>
      <c r="T12" s="137">
        <v>99</v>
      </c>
      <c r="U12" s="89">
        <v>99</v>
      </c>
      <c r="V12" s="89">
        <v>96</v>
      </c>
      <c r="W12" s="89">
        <v>104</v>
      </c>
      <c r="X12" s="89">
        <v>100</v>
      </c>
      <c r="Y12" s="89">
        <v>115</v>
      </c>
      <c r="Z12" s="89">
        <v>115</v>
      </c>
      <c r="AA12" s="89">
        <v>124</v>
      </c>
      <c r="AB12" s="89">
        <v>140</v>
      </c>
      <c r="AC12" s="89">
        <v>141</v>
      </c>
      <c r="AD12" s="89">
        <v>147</v>
      </c>
      <c r="AE12" s="343">
        <v>145</v>
      </c>
      <c r="AF12" s="355" t="s">
        <v>31</v>
      </c>
    </row>
    <row r="13" spans="1:32" ht="12.75" customHeight="1">
      <c r="A13" s="8"/>
      <c r="B13" s="10" t="s">
        <v>49</v>
      </c>
      <c r="C13" s="45">
        <v>0</v>
      </c>
      <c r="D13" s="42">
        <v>0</v>
      </c>
      <c r="E13" s="42">
        <v>26</v>
      </c>
      <c r="F13" s="42">
        <v>32</v>
      </c>
      <c r="G13" s="42">
        <v>32</v>
      </c>
      <c r="H13" s="42">
        <v>53</v>
      </c>
      <c r="I13" s="42">
        <v>72</v>
      </c>
      <c r="J13" s="42">
        <v>70</v>
      </c>
      <c r="K13" s="42">
        <v>80</v>
      </c>
      <c r="L13" s="42">
        <v>94</v>
      </c>
      <c r="M13" s="42">
        <v>103</v>
      </c>
      <c r="N13" s="42">
        <v>103</v>
      </c>
      <c r="O13" s="42">
        <v>103</v>
      </c>
      <c r="P13" s="42">
        <v>125</v>
      </c>
      <c r="Q13" s="42">
        <v>125</v>
      </c>
      <c r="R13" s="42">
        <v>176</v>
      </c>
      <c r="S13" s="42">
        <v>192</v>
      </c>
      <c r="T13" s="138">
        <v>247</v>
      </c>
      <c r="U13" s="42">
        <v>270</v>
      </c>
      <c r="V13" s="42">
        <v>269</v>
      </c>
      <c r="W13" s="42">
        <v>423</v>
      </c>
      <c r="X13" s="42">
        <v>663</v>
      </c>
      <c r="Y13" s="42">
        <v>900</v>
      </c>
      <c r="Z13" s="42">
        <v>900</v>
      </c>
      <c r="AA13" s="42">
        <v>900</v>
      </c>
      <c r="AB13" s="42">
        <v>897</v>
      </c>
      <c r="AC13" s="42">
        <v>897</v>
      </c>
      <c r="AD13" s="42">
        <v>916</v>
      </c>
      <c r="AE13" s="344">
        <v>916</v>
      </c>
      <c r="AF13" s="356" t="s">
        <v>49</v>
      </c>
    </row>
    <row r="14" spans="1:32" ht="12.75" customHeight="1">
      <c r="A14" s="8"/>
      <c r="B14" s="52" t="s">
        <v>42</v>
      </c>
      <c r="C14" s="88">
        <v>11</v>
      </c>
      <c r="D14" s="89">
        <v>91</v>
      </c>
      <c r="E14" s="89">
        <v>190</v>
      </c>
      <c r="F14" s="89">
        <v>225</v>
      </c>
      <c r="G14" s="89">
        <v>280</v>
      </c>
      <c r="H14" s="89">
        <v>330</v>
      </c>
      <c r="I14" s="89">
        <v>380</v>
      </c>
      <c r="J14" s="90">
        <v>421</v>
      </c>
      <c r="K14" s="90">
        <v>467</v>
      </c>
      <c r="L14" s="90">
        <v>509</v>
      </c>
      <c r="M14" s="90">
        <v>526</v>
      </c>
      <c r="N14" s="90">
        <v>547</v>
      </c>
      <c r="O14" s="90">
        <v>615</v>
      </c>
      <c r="P14" s="90">
        <v>743</v>
      </c>
      <c r="Q14" s="90">
        <v>870</v>
      </c>
      <c r="R14" s="223">
        <v>916.5</v>
      </c>
      <c r="S14" s="223">
        <v>916.5</v>
      </c>
      <c r="T14" s="171">
        <v>916.5</v>
      </c>
      <c r="U14" s="223">
        <v>916.5</v>
      </c>
      <c r="V14" s="223">
        <v>916.5</v>
      </c>
      <c r="W14" s="223">
        <v>916.5</v>
      </c>
      <c r="X14" s="223">
        <v>1558.2</v>
      </c>
      <c r="Y14" s="223">
        <v>1558.2</v>
      </c>
      <c r="Z14" s="223">
        <v>1558.2</v>
      </c>
      <c r="AA14" s="223">
        <v>1558.2</v>
      </c>
      <c r="AB14" s="223">
        <v>1558.2</v>
      </c>
      <c r="AC14" s="223">
        <v>1558.2</v>
      </c>
      <c r="AD14" s="223">
        <v>1589.4</v>
      </c>
      <c r="AE14" s="231">
        <v>1842.8</v>
      </c>
      <c r="AF14" s="355" t="s">
        <v>42</v>
      </c>
    </row>
    <row r="15" spans="1:32" ht="12.75" customHeight="1">
      <c r="A15" s="8"/>
      <c r="B15" s="10" t="s">
        <v>47</v>
      </c>
      <c r="C15" s="45">
        <v>387</v>
      </c>
      <c r="D15" s="42">
        <v>2008</v>
      </c>
      <c r="E15" s="42">
        <v>4976</v>
      </c>
      <c r="F15" s="42">
        <v>5235</v>
      </c>
      <c r="G15" s="42">
        <v>6486</v>
      </c>
      <c r="H15" s="42">
        <v>6577</v>
      </c>
      <c r="I15" s="42">
        <v>6497</v>
      </c>
      <c r="J15" s="42">
        <v>6962</v>
      </c>
      <c r="K15" s="42">
        <v>7295</v>
      </c>
      <c r="L15" s="42">
        <v>7750</v>
      </c>
      <c r="M15" s="42">
        <v>8269</v>
      </c>
      <c r="N15" s="42">
        <v>8893</v>
      </c>
      <c r="O15" s="42">
        <v>9049</v>
      </c>
      <c r="P15" s="42">
        <v>9571</v>
      </c>
      <c r="Q15" s="42">
        <v>9739</v>
      </c>
      <c r="R15" s="42">
        <v>10296</v>
      </c>
      <c r="S15" s="42">
        <v>10747</v>
      </c>
      <c r="T15" s="138">
        <v>11432</v>
      </c>
      <c r="U15" s="42">
        <v>12073</v>
      </c>
      <c r="V15" s="42">
        <v>13013</v>
      </c>
      <c r="W15" s="42">
        <v>13518</v>
      </c>
      <c r="X15" s="42">
        <v>14021</v>
      </c>
      <c r="Y15" s="42">
        <v>14262</v>
      </c>
      <c r="Z15" s="42">
        <v>14554</v>
      </c>
      <c r="AA15" s="42">
        <v>14701</v>
      </c>
      <c r="AB15" s="42">
        <f>3026+11955</f>
        <v>14981</v>
      </c>
      <c r="AC15" s="42">
        <f>3020+12029</f>
        <v>15049</v>
      </c>
      <c r="AD15" s="42">
        <f>3040+12296</f>
        <v>15336</v>
      </c>
      <c r="AE15" s="344">
        <f>3039+12405</f>
        <v>15444</v>
      </c>
      <c r="AF15" s="356" t="s">
        <v>47</v>
      </c>
    </row>
    <row r="16" spans="1:32" ht="12.75" customHeight="1">
      <c r="A16" s="8"/>
      <c r="B16" s="52" t="s">
        <v>48</v>
      </c>
      <c r="C16" s="88">
        <v>1553</v>
      </c>
      <c r="D16" s="89">
        <v>4862</v>
      </c>
      <c r="E16" s="89">
        <v>6824</v>
      </c>
      <c r="F16" s="89">
        <v>7080</v>
      </c>
      <c r="G16" s="89">
        <v>7408</v>
      </c>
      <c r="H16" s="89">
        <v>7614</v>
      </c>
      <c r="I16" s="89">
        <v>7956</v>
      </c>
      <c r="J16" s="89">
        <v>8275</v>
      </c>
      <c r="K16" s="89">
        <v>8596</v>
      </c>
      <c r="L16" s="89">
        <v>8864</v>
      </c>
      <c r="M16" s="89">
        <v>9303</v>
      </c>
      <c r="N16" s="89">
        <v>9626</v>
      </c>
      <c r="O16" s="89">
        <v>9766</v>
      </c>
      <c r="P16" s="89">
        <v>10068</v>
      </c>
      <c r="Q16" s="89">
        <v>10223</v>
      </c>
      <c r="R16" s="89">
        <v>10379</v>
      </c>
      <c r="S16" s="89">
        <v>10486</v>
      </c>
      <c r="T16" s="137">
        <v>10798</v>
      </c>
      <c r="U16" s="89">
        <v>10848</v>
      </c>
      <c r="V16" s="89">
        <v>10958</v>
      </c>
      <c r="W16" s="89">
        <v>11042</v>
      </c>
      <c r="X16" s="89">
        <v>11163</v>
      </c>
      <c r="Y16" s="89">
        <v>11392</v>
      </c>
      <c r="Z16" s="89">
        <v>11413</v>
      </c>
      <c r="AA16" s="89">
        <v>11413</v>
      </c>
      <c r="AB16" s="89">
        <v>11552</v>
      </c>
      <c r="AC16" s="89">
        <v>11560</v>
      </c>
      <c r="AD16" s="89">
        <v>11599</v>
      </c>
      <c r="AE16" s="343">
        <v>11612</v>
      </c>
      <c r="AF16" s="355" t="s">
        <v>48</v>
      </c>
    </row>
    <row r="17" spans="1:32" ht="12.75" customHeight="1">
      <c r="A17" s="8"/>
      <c r="B17" s="10" t="s">
        <v>60</v>
      </c>
      <c r="C17" s="45"/>
      <c r="D17" s="42"/>
      <c r="E17" s="42">
        <v>291</v>
      </c>
      <c r="F17" s="42">
        <v>302</v>
      </c>
      <c r="G17" s="42">
        <v>292</v>
      </c>
      <c r="H17" s="42">
        <v>302</v>
      </c>
      <c r="I17" s="42">
        <v>302</v>
      </c>
      <c r="J17" s="42">
        <v>302</v>
      </c>
      <c r="K17" s="42">
        <v>318</v>
      </c>
      <c r="L17" s="42">
        <v>330</v>
      </c>
      <c r="M17" s="42">
        <v>330</v>
      </c>
      <c r="N17" s="42">
        <v>382</v>
      </c>
      <c r="O17" s="42">
        <v>411</v>
      </c>
      <c r="P17" s="42">
        <v>429</v>
      </c>
      <c r="Q17" s="42">
        <v>613</v>
      </c>
      <c r="R17" s="42">
        <v>754</v>
      </c>
      <c r="S17" s="42">
        <v>925</v>
      </c>
      <c r="T17" s="138">
        <v>1016</v>
      </c>
      <c r="U17" s="42">
        <v>1081</v>
      </c>
      <c r="V17" s="42">
        <v>1156</v>
      </c>
      <c r="W17" s="42">
        <v>1199</v>
      </c>
      <c r="X17" s="42">
        <v>1244</v>
      </c>
      <c r="Y17" s="42">
        <v>1244</v>
      </c>
      <c r="Z17" s="42">
        <v>1254</v>
      </c>
      <c r="AA17" s="42">
        <v>1254</v>
      </c>
      <c r="AB17" s="42">
        <v>1289</v>
      </c>
      <c r="AC17" s="282">
        <v>1290</v>
      </c>
      <c r="AD17" s="282">
        <v>1310</v>
      </c>
      <c r="AE17" s="283">
        <v>1310</v>
      </c>
      <c r="AF17" s="356" t="s">
        <v>60</v>
      </c>
    </row>
    <row r="18" spans="1:32" ht="12.75" customHeight="1">
      <c r="A18" s="8"/>
      <c r="B18" s="209" t="s">
        <v>50</v>
      </c>
      <c r="C18" s="225">
        <v>3913</v>
      </c>
      <c r="D18" s="226">
        <v>5900</v>
      </c>
      <c r="E18" s="226">
        <v>6193</v>
      </c>
      <c r="F18" s="226">
        <v>6301</v>
      </c>
      <c r="G18" s="226">
        <v>6289</v>
      </c>
      <c r="H18" s="226">
        <v>6401</v>
      </c>
      <c r="I18" s="226">
        <v>6375</v>
      </c>
      <c r="J18" s="226">
        <v>6435</v>
      </c>
      <c r="K18" s="226">
        <v>6465</v>
      </c>
      <c r="L18" s="226">
        <v>6469</v>
      </c>
      <c r="M18" s="226">
        <v>6478</v>
      </c>
      <c r="N18" s="226">
        <v>6478</v>
      </c>
      <c r="O18" s="226">
        <v>6478</v>
      </c>
      <c r="P18" s="226">
        <v>6487</v>
      </c>
      <c r="Q18" s="226">
        <v>6487</v>
      </c>
      <c r="R18" s="226">
        <v>6487</v>
      </c>
      <c r="S18" s="226">
        <v>6532</v>
      </c>
      <c r="T18" s="227">
        <v>6542</v>
      </c>
      <c r="U18" s="226">
        <v>6554</v>
      </c>
      <c r="V18" s="226">
        <v>6588</v>
      </c>
      <c r="W18" s="226">
        <v>6629</v>
      </c>
      <c r="X18" s="226">
        <v>6661</v>
      </c>
      <c r="Y18" s="226">
        <v>6668</v>
      </c>
      <c r="Z18" s="226">
        <v>6668</v>
      </c>
      <c r="AA18" s="226">
        <v>6726</v>
      </c>
      <c r="AB18" s="226">
        <v>6751</v>
      </c>
      <c r="AC18" s="226">
        <v>6844</v>
      </c>
      <c r="AD18" s="230">
        <v>6943</v>
      </c>
      <c r="AE18" s="329">
        <f>6003.4+939.8</f>
        <v>6943.2</v>
      </c>
      <c r="AF18" s="357" t="s">
        <v>50</v>
      </c>
    </row>
    <row r="19" spans="1:32" ht="12.75" customHeight="1">
      <c r="A19" s="8"/>
      <c r="B19" s="10" t="s">
        <v>29</v>
      </c>
      <c r="C19" s="45"/>
      <c r="D19" s="42"/>
      <c r="E19" s="42">
        <v>120</v>
      </c>
      <c r="F19" s="228">
        <v>120</v>
      </c>
      <c r="G19" s="228">
        <v>120</v>
      </c>
      <c r="H19" s="42">
        <v>154</v>
      </c>
      <c r="I19" s="42">
        <v>159</v>
      </c>
      <c r="J19" s="42">
        <v>167</v>
      </c>
      <c r="K19" s="42">
        <v>167</v>
      </c>
      <c r="L19" s="42">
        <v>194</v>
      </c>
      <c r="M19" s="42">
        <v>204</v>
      </c>
      <c r="N19" s="42">
        <v>216</v>
      </c>
      <c r="O19" s="42">
        <v>257</v>
      </c>
      <c r="P19" s="42">
        <v>257</v>
      </c>
      <c r="Q19" s="42">
        <v>268</v>
      </c>
      <c r="R19" s="42">
        <v>268</v>
      </c>
      <c r="S19" s="42">
        <v>268</v>
      </c>
      <c r="T19" s="229">
        <v>276</v>
      </c>
      <c r="U19" s="42">
        <v>257</v>
      </c>
      <c r="V19" s="42">
        <v>257</v>
      </c>
      <c r="W19" s="42">
        <v>257</v>
      </c>
      <c r="X19" s="42">
        <v>257</v>
      </c>
      <c r="Y19" s="42">
        <v>257</v>
      </c>
      <c r="Z19" s="42">
        <v>257</v>
      </c>
      <c r="AA19" s="42">
        <v>257</v>
      </c>
      <c r="AB19" s="42">
        <v>257</v>
      </c>
      <c r="AC19" s="42">
        <v>257</v>
      </c>
      <c r="AD19" s="42">
        <v>272</v>
      </c>
      <c r="AE19" s="344">
        <v>272</v>
      </c>
      <c r="AF19" s="356" t="s">
        <v>29</v>
      </c>
    </row>
    <row r="20" spans="1:32" ht="12.75" customHeight="1">
      <c r="A20" s="8"/>
      <c r="B20" s="209" t="s">
        <v>33</v>
      </c>
      <c r="C20" s="225" t="s">
        <v>59</v>
      </c>
      <c r="D20" s="226" t="s">
        <v>59</v>
      </c>
      <c r="E20" s="226" t="s">
        <v>59</v>
      </c>
      <c r="F20" s="226" t="s">
        <v>59</v>
      </c>
      <c r="G20" s="226" t="s">
        <v>59</v>
      </c>
      <c r="H20" s="226" t="s">
        <v>59</v>
      </c>
      <c r="I20" s="226" t="s">
        <v>59</v>
      </c>
      <c r="J20" s="226" t="s">
        <v>59</v>
      </c>
      <c r="K20" s="226" t="s">
        <v>59</v>
      </c>
      <c r="L20" s="226" t="s">
        <v>59</v>
      </c>
      <c r="M20" s="226" t="s">
        <v>59</v>
      </c>
      <c r="N20" s="226" t="s">
        <v>59</v>
      </c>
      <c r="O20" s="226" t="s">
        <v>62</v>
      </c>
      <c r="P20" s="226" t="s">
        <v>59</v>
      </c>
      <c r="Q20" s="226" t="s">
        <v>59</v>
      </c>
      <c r="R20" s="226" t="s">
        <v>59</v>
      </c>
      <c r="S20" s="226" t="s">
        <v>59</v>
      </c>
      <c r="T20" s="227" t="s">
        <v>59</v>
      </c>
      <c r="U20" s="226" t="s">
        <v>59</v>
      </c>
      <c r="V20" s="226" t="s">
        <v>59</v>
      </c>
      <c r="W20" s="226" t="s">
        <v>59</v>
      </c>
      <c r="X20" s="230" t="s">
        <v>59</v>
      </c>
      <c r="Y20" s="230" t="s">
        <v>59</v>
      </c>
      <c r="Z20" s="230" t="s">
        <v>59</v>
      </c>
      <c r="AA20" s="230" t="s">
        <v>59</v>
      </c>
      <c r="AB20" s="230" t="s">
        <v>59</v>
      </c>
      <c r="AC20" s="230" t="s">
        <v>59</v>
      </c>
      <c r="AD20" s="230" t="s">
        <v>59</v>
      </c>
      <c r="AE20" s="329" t="s">
        <v>59</v>
      </c>
      <c r="AF20" s="357" t="s">
        <v>33</v>
      </c>
    </row>
    <row r="21" spans="1:32" ht="12.75" customHeight="1">
      <c r="A21" s="8"/>
      <c r="B21" s="10" t="s">
        <v>34</v>
      </c>
      <c r="C21" s="45"/>
      <c r="D21" s="42"/>
      <c r="E21" s="42">
        <v>421</v>
      </c>
      <c r="F21" s="42">
        <v>376</v>
      </c>
      <c r="G21" s="42">
        <v>382</v>
      </c>
      <c r="H21" s="42">
        <v>394</v>
      </c>
      <c r="I21" s="42">
        <v>394</v>
      </c>
      <c r="J21" s="42">
        <v>394</v>
      </c>
      <c r="K21" s="42">
        <v>404</v>
      </c>
      <c r="L21" s="42">
        <v>410</v>
      </c>
      <c r="M21" s="42">
        <v>417</v>
      </c>
      <c r="N21" s="42">
        <v>417</v>
      </c>
      <c r="O21" s="42">
        <v>417</v>
      </c>
      <c r="P21" s="42">
        <v>417</v>
      </c>
      <c r="Q21" s="42">
        <v>417</v>
      </c>
      <c r="R21" s="42">
        <v>417</v>
      </c>
      <c r="S21" s="42">
        <v>417</v>
      </c>
      <c r="T21" s="229">
        <v>417</v>
      </c>
      <c r="U21" s="42">
        <v>309</v>
      </c>
      <c r="V21" s="42">
        <v>309</v>
      </c>
      <c r="W21" s="42">
        <v>309</v>
      </c>
      <c r="X21" s="42">
        <v>309</v>
      </c>
      <c r="Y21" s="42">
        <v>309</v>
      </c>
      <c r="Z21" s="42">
        <v>309</v>
      </c>
      <c r="AA21" s="42">
        <v>309</v>
      </c>
      <c r="AB21" s="42">
        <v>309</v>
      </c>
      <c r="AC21" s="42">
        <v>309</v>
      </c>
      <c r="AD21" s="42">
        <v>309</v>
      </c>
      <c r="AE21" s="344">
        <v>314</v>
      </c>
      <c r="AF21" s="356" t="s">
        <v>34</v>
      </c>
    </row>
    <row r="22" spans="1:32" ht="12.75" customHeight="1">
      <c r="A22" s="8"/>
      <c r="B22" s="52" t="s">
        <v>51</v>
      </c>
      <c r="C22" s="88">
        <v>7</v>
      </c>
      <c r="D22" s="89">
        <v>44</v>
      </c>
      <c r="E22" s="89">
        <v>78</v>
      </c>
      <c r="F22" s="90">
        <v>78</v>
      </c>
      <c r="G22" s="90">
        <v>95</v>
      </c>
      <c r="H22" s="89">
        <v>100</v>
      </c>
      <c r="I22" s="89">
        <v>121</v>
      </c>
      <c r="J22" s="89">
        <v>123</v>
      </c>
      <c r="K22" s="89">
        <v>115</v>
      </c>
      <c r="L22" s="89">
        <v>118</v>
      </c>
      <c r="M22" s="89">
        <v>115</v>
      </c>
      <c r="N22" s="89">
        <v>115</v>
      </c>
      <c r="O22" s="89">
        <v>114</v>
      </c>
      <c r="P22" s="89">
        <v>126</v>
      </c>
      <c r="Q22" s="89">
        <v>147</v>
      </c>
      <c r="R22" s="89">
        <v>147</v>
      </c>
      <c r="S22" s="89">
        <v>147</v>
      </c>
      <c r="T22" s="137">
        <v>147</v>
      </c>
      <c r="U22" s="89">
        <v>147</v>
      </c>
      <c r="V22" s="89">
        <v>147</v>
      </c>
      <c r="W22" s="89">
        <v>147</v>
      </c>
      <c r="X22" s="89">
        <v>147</v>
      </c>
      <c r="Y22" s="89">
        <v>152</v>
      </c>
      <c r="Z22" s="89">
        <v>152</v>
      </c>
      <c r="AA22" s="89">
        <v>152</v>
      </c>
      <c r="AB22" s="89">
        <v>152</v>
      </c>
      <c r="AC22" s="89">
        <v>152</v>
      </c>
      <c r="AD22" s="89">
        <v>161</v>
      </c>
      <c r="AE22" s="343">
        <v>161</v>
      </c>
      <c r="AF22" s="355" t="s">
        <v>51</v>
      </c>
    </row>
    <row r="23" spans="1:32" ht="12.75" customHeight="1">
      <c r="A23" s="8"/>
      <c r="B23" s="10" t="s">
        <v>32</v>
      </c>
      <c r="C23" s="46"/>
      <c r="D23" s="47"/>
      <c r="E23" s="42">
        <v>267</v>
      </c>
      <c r="F23" s="42">
        <v>269</v>
      </c>
      <c r="G23" s="42">
        <v>269</v>
      </c>
      <c r="H23" s="42">
        <v>269</v>
      </c>
      <c r="I23" s="42">
        <v>293</v>
      </c>
      <c r="J23" s="42">
        <v>335</v>
      </c>
      <c r="K23" s="42">
        <v>365</v>
      </c>
      <c r="L23" s="42">
        <v>382</v>
      </c>
      <c r="M23" s="42">
        <v>448</v>
      </c>
      <c r="N23" s="42">
        <v>448</v>
      </c>
      <c r="O23" s="42">
        <v>448</v>
      </c>
      <c r="P23" s="42">
        <v>448</v>
      </c>
      <c r="Q23" s="42">
        <v>542</v>
      </c>
      <c r="R23" s="42">
        <v>533</v>
      </c>
      <c r="S23" s="42">
        <v>761</v>
      </c>
      <c r="T23" s="138">
        <v>859</v>
      </c>
      <c r="U23" s="42">
        <v>1157</v>
      </c>
      <c r="V23" s="42">
        <v>1065</v>
      </c>
      <c r="W23" s="42">
        <v>1274</v>
      </c>
      <c r="X23" s="42">
        <v>1273</v>
      </c>
      <c r="Y23" s="42">
        <v>1477</v>
      </c>
      <c r="Z23" s="42">
        <v>1516</v>
      </c>
      <c r="AA23" s="42">
        <v>1515.1</v>
      </c>
      <c r="AB23" s="42">
        <v>1766.9</v>
      </c>
      <c r="AC23" s="42">
        <v>1781.8</v>
      </c>
      <c r="AD23" s="42">
        <v>1883.9</v>
      </c>
      <c r="AE23" s="344">
        <v>1924</v>
      </c>
      <c r="AF23" s="356" t="s">
        <v>32</v>
      </c>
    </row>
    <row r="24" spans="1:32" ht="12.75" customHeight="1">
      <c r="A24" s="8"/>
      <c r="B24" s="52" t="s">
        <v>35</v>
      </c>
      <c r="C24" s="88" t="s">
        <v>59</v>
      </c>
      <c r="D24" s="89" t="s">
        <v>59</v>
      </c>
      <c r="E24" s="89" t="s">
        <v>59</v>
      </c>
      <c r="F24" s="89" t="s">
        <v>59</v>
      </c>
      <c r="G24" s="89" t="s">
        <v>59</v>
      </c>
      <c r="H24" s="89" t="s">
        <v>59</v>
      </c>
      <c r="I24" s="89" t="s">
        <v>59</v>
      </c>
      <c r="J24" s="89" t="s">
        <v>59</v>
      </c>
      <c r="K24" s="89" t="s">
        <v>59</v>
      </c>
      <c r="L24" s="89" t="s">
        <v>59</v>
      </c>
      <c r="M24" s="89" t="s">
        <v>59</v>
      </c>
      <c r="N24" s="89" t="s">
        <v>59</v>
      </c>
      <c r="O24" s="89" t="s">
        <v>62</v>
      </c>
      <c r="P24" s="89" t="s">
        <v>59</v>
      </c>
      <c r="Q24" s="89" t="s">
        <v>59</v>
      </c>
      <c r="R24" s="89" t="s">
        <v>59</v>
      </c>
      <c r="S24" s="89" t="s">
        <v>59</v>
      </c>
      <c r="T24" s="137" t="s">
        <v>59</v>
      </c>
      <c r="U24" s="89" t="s">
        <v>59</v>
      </c>
      <c r="V24" s="89" t="s">
        <v>59</v>
      </c>
      <c r="W24" s="89" t="s">
        <v>59</v>
      </c>
      <c r="X24" s="89" t="s">
        <v>59</v>
      </c>
      <c r="Y24" s="89" t="s">
        <v>59</v>
      </c>
      <c r="Z24" s="89" t="s">
        <v>59</v>
      </c>
      <c r="AA24" s="223" t="s">
        <v>59</v>
      </c>
      <c r="AB24" s="223" t="s">
        <v>59</v>
      </c>
      <c r="AC24" s="223" t="s">
        <v>59</v>
      </c>
      <c r="AD24" s="223" t="s">
        <v>59</v>
      </c>
      <c r="AE24" s="231" t="s">
        <v>59</v>
      </c>
      <c r="AF24" s="355" t="s">
        <v>35</v>
      </c>
    </row>
    <row r="25" spans="1:32" ht="12.75" customHeight="1">
      <c r="A25" s="8"/>
      <c r="B25" s="10" t="s">
        <v>43</v>
      </c>
      <c r="C25" s="45">
        <v>1209</v>
      </c>
      <c r="D25" s="42">
        <v>1798</v>
      </c>
      <c r="E25" s="42">
        <v>2092</v>
      </c>
      <c r="F25" s="42">
        <v>2092</v>
      </c>
      <c r="G25" s="42">
        <v>2134</v>
      </c>
      <c r="H25" s="42">
        <v>2167</v>
      </c>
      <c r="I25" s="42">
        <v>2208</v>
      </c>
      <c r="J25" s="42">
        <v>2208</v>
      </c>
      <c r="K25" s="42">
        <v>2208</v>
      </c>
      <c r="L25" s="42">
        <v>2225</v>
      </c>
      <c r="M25" s="42">
        <v>2225</v>
      </c>
      <c r="N25" s="42">
        <v>2291</v>
      </c>
      <c r="O25" s="42">
        <v>2265</v>
      </c>
      <c r="P25" s="42">
        <v>2499</v>
      </c>
      <c r="Q25" s="42">
        <v>2516</v>
      </c>
      <c r="R25" s="42">
        <v>2541</v>
      </c>
      <c r="S25" s="42">
        <v>2585</v>
      </c>
      <c r="T25" s="138">
        <v>2600</v>
      </c>
      <c r="U25" s="42">
        <v>2604</v>
      </c>
      <c r="V25" s="42">
        <v>2582</v>
      </c>
      <c r="W25" s="42">
        <v>2637</v>
      </c>
      <c r="X25" s="42">
        <v>2646</v>
      </c>
      <c r="Y25" s="42">
        <v>2651</v>
      </c>
      <c r="Z25" s="42">
        <v>2658</v>
      </c>
      <c r="AA25" s="42">
        <v>2666</v>
      </c>
      <c r="AB25" s="42">
        <v>2678</v>
      </c>
      <c r="AC25" s="42">
        <v>2730</v>
      </c>
      <c r="AD25" s="42">
        <v>2756</v>
      </c>
      <c r="AE25" s="344">
        <v>2758</v>
      </c>
      <c r="AF25" s="356" t="s">
        <v>43</v>
      </c>
    </row>
    <row r="26" spans="1:32" ht="12.75" customHeight="1">
      <c r="A26" s="8"/>
      <c r="B26" s="52" t="s">
        <v>52</v>
      </c>
      <c r="C26" s="88">
        <v>478</v>
      </c>
      <c r="D26" s="89">
        <v>938</v>
      </c>
      <c r="E26" s="89">
        <v>1445</v>
      </c>
      <c r="F26" s="89">
        <v>1450</v>
      </c>
      <c r="G26" s="89">
        <v>1554</v>
      </c>
      <c r="H26" s="89">
        <v>1557</v>
      </c>
      <c r="I26" s="89">
        <v>1559</v>
      </c>
      <c r="J26" s="89">
        <v>1596</v>
      </c>
      <c r="K26" s="89">
        <v>1607</v>
      </c>
      <c r="L26" s="89">
        <v>1613</v>
      </c>
      <c r="M26" s="89">
        <v>1613</v>
      </c>
      <c r="N26" s="89">
        <v>1634</v>
      </c>
      <c r="O26" s="89">
        <v>1633</v>
      </c>
      <c r="P26" s="89">
        <v>1645</v>
      </c>
      <c r="Q26" s="89">
        <v>1645</v>
      </c>
      <c r="R26" s="89">
        <v>1670</v>
      </c>
      <c r="S26" s="89">
        <v>1677</v>
      </c>
      <c r="T26" s="137">
        <v>1677</v>
      </c>
      <c r="U26" s="89">
        <v>1678</v>
      </c>
      <c r="V26" s="89">
        <v>1696</v>
      </c>
      <c r="W26" s="89">
        <v>1696</v>
      </c>
      <c r="X26" s="89">
        <v>1696</v>
      </c>
      <c r="Y26" s="89">
        <v>1719</v>
      </c>
      <c r="Z26" s="89">
        <v>1719</v>
      </c>
      <c r="AA26" s="89">
        <v>1719</v>
      </c>
      <c r="AB26" s="89">
        <v>1719</v>
      </c>
      <c r="AC26" s="89">
        <v>1719</v>
      </c>
      <c r="AD26" s="223">
        <v>1719</v>
      </c>
      <c r="AE26" s="231">
        <v>1743.464</v>
      </c>
      <c r="AF26" s="355" t="s">
        <v>52</v>
      </c>
    </row>
    <row r="27" spans="1:32" ht="12.75" customHeight="1">
      <c r="A27" s="8"/>
      <c r="B27" s="10" t="s">
        <v>36</v>
      </c>
      <c r="C27" s="45"/>
      <c r="D27" s="42"/>
      <c r="E27" s="42">
        <v>257</v>
      </c>
      <c r="F27" s="42">
        <v>239</v>
      </c>
      <c r="G27" s="42">
        <v>257</v>
      </c>
      <c r="H27" s="42">
        <v>231</v>
      </c>
      <c r="I27" s="42">
        <v>245</v>
      </c>
      <c r="J27" s="42">
        <v>246</v>
      </c>
      <c r="K27" s="42">
        <v>258</v>
      </c>
      <c r="L27" s="42">
        <v>264</v>
      </c>
      <c r="M27" s="42">
        <v>268</v>
      </c>
      <c r="N27" s="42">
        <v>317</v>
      </c>
      <c r="O27" s="42">
        <v>358</v>
      </c>
      <c r="P27" s="42">
        <v>398</v>
      </c>
      <c r="Q27" s="42">
        <v>405</v>
      </c>
      <c r="R27" s="42">
        <v>484</v>
      </c>
      <c r="S27" s="42">
        <v>552</v>
      </c>
      <c r="T27" s="138">
        <v>552</v>
      </c>
      <c r="U27" s="42">
        <v>582.5</v>
      </c>
      <c r="V27" s="42">
        <v>662.5</v>
      </c>
      <c r="W27" s="42">
        <v>765</v>
      </c>
      <c r="X27" s="42">
        <v>849</v>
      </c>
      <c r="Y27" s="42">
        <v>857</v>
      </c>
      <c r="Z27" s="42">
        <v>1070</v>
      </c>
      <c r="AA27" s="42">
        <v>1365</v>
      </c>
      <c r="AB27" s="42">
        <v>1482</v>
      </c>
      <c r="AC27" s="42">
        <v>1556</v>
      </c>
      <c r="AD27" s="42">
        <v>1559</v>
      </c>
      <c r="AE27" s="344">
        <v>1640</v>
      </c>
      <c r="AF27" s="356" t="s">
        <v>36</v>
      </c>
    </row>
    <row r="28" spans="1:32" ht="12.75" customHeight="1">
      <c r="A28" s="8"/>
      <c r="B28" s="52" t="s">
        <v>53</v>
      </c>
      <c r="C28" s="88">
        <v>66</v>
      </c>
      <c r="D28" s="89">
        <v>132</v>
      </c>
      <c r="E28" s="89">
        <v>316</v>
      </c>
      <c r="F28" s="89">
        <v>474</v>
      </c>
      <c r="G28" s="89">
        <v>520</v>
      </c>
      <c r="H28" s="89">
        <v>579</v>
      </c>
      <c r="I28" s="89">
        <v>587</v>
      </c>
      <c r="J28" s="90">
        <v>687</v>
      </c>
      <c r="K28" s="90">
        <v>710</v>
      </c>
      <c r="L28" s="90">
        <v>797</v>
      </c>
      <c r="M28" s="90">
        <v>1252</v>
      </c>
      <c r="N28" s="90">
        <v>1441</v>
      </c>
      <c r="O28" s="90">
        <v>1482</v>
      </c>
      <c r="P28" s="90">
        <v>1659</v>
      </c>
      <c r="Q28" s="90">
        <v>1836</v>
      </c>
      <c r="R28" s="90">
        <v>2002</v>
      </c>
      <c r="S28" s="90">
        <v>2091</v>
      </c>
      <c r="T28" s="139">
        <v>2341</v>
      </c>
      <c r="U28" s="90">
        <v>2545</v>
      </c>
      <c r="V28" s="90">
        <v>2613</v>
      </c>
      <c r="W28" s="90">
        <v>2623</v>
      </c>
      <c r="X28" s="223">
        <v>2705</v>
      </c>
      <c r="Y28" s="223">
        <v>2737</v>
      </c>
      <c r="Z28" s="223">
        <v>2737</v>
      </c>
      <c r="AA28" s="223">
        <v>2988</v>
      </c>
      <c r="AB28" s="223">
        <v>3065</v>
      </c>
      <c r="AC28" s="223">
        <v>3065</v>
      </c>
      <c r="AD28" s="223">
        <v>3065</v>
      </c>
      <c r="AE28" s="231">
        <v>3065</v>
      </c>
      <c r="AF28" s="355" t="s">
        <v>53</v>
      </c>
    </row>
    <row r="29" spans="1:32" ht="12.75" customHeight="1">
      <c r="A29" s="8"/>
      <c r="B29" s="10" t="s">
        <v>37</v>
      </c>
      <c r="C29" s="45"/>
      <c r="D29" s="42"/>
      <c r="E29" s="42">
        <v>113</v>
      </c>
      <c r="F29" s="42">
        <v>113</v>
      </c>
      <c r="G29" s="42">
        <v>113</v>
      </c>
      <c r="H29" s="42">
        <v>113</v>
      </c>
      <c r="I29" s="42">
        <v>113</v>
      </c>
      <c r="J29" s="42">
        <v>113</v>
      </c>
      <c r="K29" s="42">
        <v>113</v>
      </c>
      <c r="L29" s="42">
        <v>113</v>
      </c>
      <c r="M29" s="42">
        <v>113</v>
      </c>
      <c r="N29" s="42">
        <v>113</v>
      </c>
      <c r="O29" s="42">
        <v>113</v>
      </c>
      <c r="P29" s="42">
        <v>113</v>
      </c>
      <c r="Q29" s="42">
        <v>113</v>
      </c>
      <c r="R29" s="42">
        <v>113</v>
      </c>
      <c r="S29" s="42">
        <v>228</v>
      </c>
      <c r="T29" s="138">
        <v>228</v>
      </c>
      <c r="U29" s="42">
        <v>228</v>
      </c>
      <c r="V29" s="42">
        <v>281</v>
      </c>
      <c r="W29" s="42">
        <v>281</v>
      </c>
      <c r="X29" s="42">
        <v>321</v>
      </c>
      <c r="Y29" s="42">
        <v>332</v>
      </c>
      <c r="Z29" s="42">
        <v>350</v>
      </c>
      <c r="AA29" s="42">
        <v>550</v>
      </c>
      <c r="AB29" s="42">
        <v>644</v>
      </c>
      <c r="AC29" s="42">
        <v>683</v>
      </c>
      <c r="AD29" s="42">
        <v>747</v>
      </c>
      <c r="AE29" s="344">
        <v>747</v>
      </c>
      <c r="AF29" s="356" t="s">
        <v>37</v>
      </c>
    </row>
    <row r="30" spans="1:32" ht="12.75" customHeight="1">
      <c r="A30" s="8"/>
      <c r="B30" s="52" t="s">
        <v>39</v>
      </c>
      <c r="C30" s="88"/>
      <c r="D30" s="89"/>
      <c r="E30" s="89">
        <v>228</v>
      </c>
      <c r="F30" s="90">
        <v>246</v>
      </c>
      <c r="G30" s="90">
        <v>254</v>
      </c>
      <c r="H30" s="89">
        <v>268</v>
      </c>
      <c r="I30" s="89">
        <v>277</v>
      </c>
      <c r="J30" s="89">
        <v>293</v>
      </c>
      <c r="K30" s="89">
        <v>310</v>
      </c>
      <c r="L30" s="89">
        <v>330</v>
      </c>
      <c r="M30" s="89">
        <v>369</v>
      </c>
      <c r="N30" s="89">
        <v>399</v>
      </c>
      <c r="O30" s="89">
        <v>427</v>
      </c>
      <c r="P30" s="89">
        <v>435</v>
      </c>
      <c r="Q30" s="89">
        <v>457</v>
      </c>
      <c r="R30" s="89">
        <v>477</v>
      </c>
      <c r="S30" s="89">
        <v>483</v>
      </c>
      <c r="T30" s="137">
        <v>569</v>
      </c>
      <c r="U30" s="89">
        <v>579</v>
      </c>
      <c r="V30" s="89">
        <v>579</v>
      </c>
      <c r="W30" s="89">
        <v>696</v>
      </c>
      <c r="X30" s="89">
        <v>747</v>
      </c>
      <c r="Y30" s="89">
        <v>771</v>
      </c>
      <c r="Z30" s="89">
        <v>768</v>
      </c>
      <c r="AA30" s="89">
        <v>769</v>
      </c>
      <c r="AB30" s="89">
        <v>770</v>
      </c>
      <c r="AC30" s="89">
        <v>770</v>
      </c>
      <c r="AD30" s="89">
        <v>773</v>
      </c>
      <c r="AE30" s="343">
        <v>772.95</v>
      </c>
      <c r="AF30" s="355" t="s">
        <v>39</v>
      </c>
    </row>
    <row r="31" spans="1:32" ht="14.25" customHeight="1">
      <c r="A31" s="8"/>
      <c r="B31" s="10" t="s">
        <v>38</v>
      </c>
      <c r="C31" s="46"/>
      <c r="D31" s="47"/>
      <c r="E31" s="42">
        <v>192</v>
      </c>
      <c r="F31" s="42">
        <v>198</v>
      </c>
      <c r="G31" s="42">
        <v>198</v>
      </c>
      <c r="H31" s="42">
        <v>198</v>
      </c>
      <c r="I31" s="42">
        <v>198</v>
      </c>
      <c r="J31" s="42">
        <v>198</v>
      </c>
      <c r="K31" s="42">
        <v>215</v>
      </c>
      <c r="L31" s="42">
        <v>219</v>
      </c>
      <c r="M31" s="42">
        <v>292</v>
      </c>
      <c r="N31" s="42">
        <v>295</v>
      </c>
      <c r="O31" s="42">
        <v>296</v>
      </c>
      <c r="P31" s="42">
        <v>296</v>
      </c>
      <c r="Q31" s="42">
        <v>302</v>
      </c>
      <c r="R31" s="42">
        <v>313</v>
      </c>
      <c r="S31" s="42">
        <v>316.195</v>
      </c>
      <c r="T31" s="138">
        <v>327.505</v>
      </c>
      <c r="U31" s="42">
        <v>327.505</v>
      </c>
      <c r="V31" s="42">
        <v>364.542</v>
      </c>
      <c r="W31" s="42">
        <v>383.989</v>
      </c>
      <c r="X31" s="42">
        <v>390.98</v>
      </c>
      <c r="Y31" s="42">
        <v>415.695</v>
      </c>
      <c r="Z31" s="42">
        <v>419.207</v>
      </c>
      <c r="AA31" s="42">
        <v>419.207</v>
      </c>
      <c r="AB31" s="42">
        <v>419.807</v>
      </c>
      <c r="AC31" s="42">
        <v>419.706</v>
      </c>
      <c r="AD31" s="42">
        <v>463.107</v>
      </c>
      <c r="AE31" s="344">
        <v>463.207</v>
      </c>
      <c r="AF31" s="356" t="s">
        <v>38</v>
      </c>
    </row>
    <row r="32" spans="1:32" ht="12.75" customHeight="1">
      <c r="A32" s="8"/>
      <c r="B32" s="52" t="s">
        <v>54</v>
      </c>
      <c r="C32" s="88">
        <v>108</v>
      </c>
      <c r="D32" s="89">
        <v>204</v>
      </c>
      <c r="E32" s="89">
        <v>225</v>
      </c>
      <c r="F32" s="89">
        <v>249</v>
      </c>
      <c r="G32" s="89">
        <v>318</v>
      </c>
      <c r="H32" s="89">
        <v>337</v>
      </c>
      <c r="I32" s="89">
        <v>388</v>
      </c>
      <c r="J32" s="89">
        <v>394</v>
      </c>
      <c r="K32" s="89">
        <v>431</v>
      </c>
      <c r="L32" s="89">
        <v>444</v>
      </c>
      <c r="M32" s="89">
        <v>473</v>
      </c>
      <c r="N32" s="89">
        <v>512</v>
      </c>
      <c r="O32" s="89">
        <v>549</v>
      </c>
      <c r="P32" s="89">
        <v>591</v>
      </c>
      <c r="Q32" s="89">
        <v>603</v>
      </c>
      <c r="R32" s="89">
        <v>653</v>
      </c>
      <c r="S32" s="89">
        <v>653</v>
      </c>
      <c r="T32" s="137">
        <v>693</v>
      </c>
      <c r="U32" s="89">
        <v>700</v>
      </c>
      <c r="V32" s="89">
        <v>700</v>
      </c>
      <c r="W32" s="89">
        <v>739</v>
      </c>
      <c r="X32" s="89">
        <v>765</v>
      </c>
      <c r="Y32" s="89">
        <v>779</v>
      </c>
      <c r="Z32" s="89">
        <v>790</v>
      </c>
      <c r="AA32" s="89">
        <v>780</v>
      </c>
      <c r="AB32" s="89">
        <v>810</v>
      </c>
      <c r="AC32" s="89">
        <v>881</v>
      </c>
      <c r="AD32" s="89">
        <v>881</v>
      </c>
      <c r="AE32" s="343">
        <v>890</v>
      </c>
      <c r="AF32" s="355" t="s">
        <v>54</v>
      </c>
    </row>
    <row r="33" spans="1:32" ht="12.75" customHeight="1">
      <c r="A33" s="8"/>
      <c r="B33" s="10" t="s">
        <v>55</v>
      </c>
      <c r="C33" s="45">
        <v>403</v>
      </c>
      <c r="D33" s="42">
        <v>850</v>
      </c>
      <c r="E33" s="42">
        <v>939</v>
      </c>
      <c r="F33" s="42">
        <v>968</v>
      </c>
      <c r="G33" s="42">
        <v>1005</v>
      </c>
      <c r="H33" s="42">
        <v>1061</v>
      </c>
      <c r="I33" s="42">
        <v>1125</v>
      </c>
      <c r="J33" s="42">
        <v>1262</v>
      </c>
      <c r="K33" s="42">
        <v>1350</v>
      </c>
      <c r="L33" s="42">
        <v>1423</v>
      </c>
      <c r="M33" s="42">
        <v>1439</v>
      </c>
      <c r="N33" s="42">
        <v>1484</v>
      </c>
      <c r="O33" s="42">
        <v>1499</v>
      </c>
      <c r="P33" s="42">
        <v>1507</v>
      </c>
      <c r="Q33" s="42">
        <v>1544</v>
      </c>
      <c r="R33" s="42">
        <v>1591</v>
      </c>
      <c r="S33" s="42">
        <v>1700</v>
      </c>
      <c r="T33" s="42">
        <v>1700</v>
      </c>
      <c r="U33" s="42">
        <v>1740</v>
      </c>
      <c r="V33" s="42">
        <v>1806</v>
      </c>
      <c r="W33" s="42">
        <v>1857</v>
      </c>
      <c r="X33" s="42">
        <v>1923</v>
      </c>
      <c r="Y33" s="42">
        <v>1971</v>
      </c>
      <c r="Z33" s="42">
        <v>1957</v>
      </c>
      <c r="AA33" s="42">
        <v>2004</v>
      </c>
      <c r="AB33" s="282">
        <v>2044</v>
      </c>
      <c r="AC33" s="282">
        <v>2088</v>
      </c>
      <c r="AD33" s="282">
        <v>2119</v>
      </c>
      <c r="AE33" s="283">
        <v>2118</v>
      </c>
      <c r="AF33" s="356" t="s">
        <v>55</v>
      </c>
    </row>
    <row r="34" spans="1:32" ht="12.75" customHeight="1">
      <c r="A34" s="8"/>
      <c r="B34" s="232" t="s">
        <v>44</v>
      </c>
      <c r="C34" s="233">
        <v>1183</v>
      </c>
      <c r="D34" s="234">
        <v>2683</v>
      </c>
      <c r="E34" s="234">
        <v>3181</v>
      </c>
      <c r="F34" s="234">
        <v>3211</v>
      </c>
      <c r="G34" s="234">
        <v>3246</v>
      </c>
      <c r="H34" s="234">
        <v>3323.92</v>
      </c>
      <c r="I34" s="234">
        <v>3360.16</v>
      </c>
      <c r="J34" s="234">
        <v>3379.81</v>
      </c>
      <c r="K34" s="234">
        <v>3408.29</v>
      </c>
      <c r="L34" s="234">
        <v>3490.59</v>
      </c>
      <c r="M34" s="234">
        <v>3534.95</v>
      </c>
      <c r="N34" s="234">
        <v>3563.64</v>
      </c>
      <c r="O34" s="234">
        <v>3580.89</v>
      </c>
      <c r="P34" s="234">
        <v>3590.69</v>
      </c>
      <c r="Q34" s="234">
        <v>3592.09</v>
      </c>
      <c r="R34" s="234">
        <v>3592.09</v>
      </c>
      <c r="S34" s="234">
        <v>3637.99</v>
      </c>
      <c r="T34" s="234">
        <v>3632.69</v>
      </c>
      <c r="U34" s="234">
        <v>3669.64</v>
      </c>
      <c r="V34" s="234">
        <v>3673.64</v>
      </c>
      <c r="W34" s="234">
        <v>3672.81</v>
      </c>
      <c r="X34" s="234">
        <v>3673.91</v>
      </c>
      <c r="Y34" s="234">
        <v>3671.81</v>
      </c>
      <c r="Z34" s="234">
        <v>3685.7</v>
      </c>
      <c r="AA34" s="234">
        <v>3732.52</v>
      </c>
      <c r="AB34" s="234">
        <v>3756.02</v>
      </c>
      <c r="AC34" s="234">
        <v>3759.62</v>
      </c>
      <c r="AD34" s="319">
        <v>3768.43</v>
      </c>
      <c r="AE34" s="387">
        <v>3764.33</v>
      </c>
      <c r="AF34" s="237" t="s">
        <v>44</v>
      </c>
    </row>
    <row r="35" spans="1:32" ht="12.75" customHeight="1">
      <c r="A35" s="8"/>
      <c r="B35" s="10" t="s">
        <v>123</v>
      </c>
      <c r="C35" s="45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1"/>
      <c r="Q35" s="42"/>
      <c r="R35" s="42"/>
      <c r="S35" s="42"/>
      <c r="T35" s="138"/>
      <c r="U35" s="42"/>
      <c r="V35" s="42"/>
      <c r="W35" s="42"/>
      <c r="X35" s="42"/>
      <c r="Y35" s="42"/>
      <c r="Z35" s="42"/>
      <c r="AA35" s="228"/>
      <c r="AB35" s="228"/>
      <c r="AC35" s="228"/>
      <c r="AD35" s="228"/>
      <c r="AE35" s="224"/>
      <c r="AF35" s="356" t="s">
        <v>123</v>
      </c>
    </row>
    <row r="36" spans="1:32" ht="12.75" customHeight="1">
      <c r="A36" s="8"/>
      <c r="B36" s="209" t="s">
        <v>121</v>
      </c>
      <c r="C36" s="225"/>
      <c r="D36" s="226"/>
      <c r="E36" s="226" t="s">
        <v>59</v>
      </c>
      <c r="F36" s="226" t="s">
        <v>59</v>
      </c>
      <c r="G36" s="226" t="s">
        <v>59</v>
      </c>
      <c r="H36" s="226" t="s">
        <v>59</v>
      </c>
      <c r="I36" s="226" t="s">
        <v>59</v>
      </c>
      <c r="J36" s="226" t="s">
        <v>59</v>
      </c>
      <c r="K36" s="226" t="s">
        <v>59</v>
      </c>
      <c r="L36" s="226" t="s">
        <v>59</v>
      </c>
      <c r="M36" s="226" t="s">
        <v>59</v>
      </c>
      <c r="N36" s="226" t="s">
        <v>59</v>
      </c>
      <c r="O36" s="226" t="s">
        <v>59</v>
      </c>
      <c r="P36" s="226" t="s">
        <v>59</v>
      </c>
      <c r="Q36" s="226" t="s">
        <v>59</v>
      </c>
      <c r="R36" s="226" t="s">
        <v>59</v>
      </c>
      <c r="S36" s="226" t="s">
        <v>59</v>
      </c>
      <c r="T36" s="227" t="s">
        <v>59</v>
      </c>
      <c r="U36" s="226" t="s">
        <v>59</v>
      </c>
      <c r="V36" s="230" t="s">
        <v>59</v>
      </c>
      <c r="W36" s="230" t="s">
        <v>59</v>
      </c>
      <c r="X36" s="230" t="s">
        <v>59</v>
      </c>
      <c r="Y36" s="230" t="s">
        <v>59</v>
      </c>
      <c r="Z36" s="230" t="s">
        <v>59</v>
      </c>
      <c r="AA36" s="230" t="s">
        <v>59</v>
      </c>
      <c r="AB36" s="230" t="s">
        <v>59</v>
      </c>
      <c r="AC36" s="230" t="s">
        <v>59</v>
      </c>
      <c r="AD36" s="230" t="s">
        <v>59</v>
      </c>
      <c r="AE36" s="329" t="s">
        <v>59</v>
      </c>
      <c r="AF36" s="357" t="s">
        <v>121</v>
      </c>
    </row>
    <row r="37" spans="1:32" ht="12.75" customHeight="1">
      <c r="A37" s="8"/>
      <c r="B37" s="10" t="s">
        <v>1</v>
      </c>
      <c r="C37" s="45"/>
      <c r="D37" s="42"/>
      <c r="E37" s="42">
        <v>83</v>
      </c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>
        <v>145</v>
      </c>
      <c r="Q37" s="42">
        <v>208</v>
      </c>
      <c r="R37" s="42">
        <v>208</v>
      </c>
      <c r="S37" s="42">
        <v>208</v>
      </c>
      <c r="T37" s="138">
        <v>216</v>
      </c>
      <c r="U37" s="42">
        <v>216</v>
      </c>
      <c r="V37" s="42">
        <v>221</v>
      </c>
      <c r="W37" s="42">
        <v>237</v>
      </c>
      <c r="X37" s="42">
        <v>251</v>
      </c>
      <c r="Y37" s="42">
        <v>251</v>
      </c>
      <c r="Z37" s="42">
        <v>259</v>
      </c>
      <c r="AA37" s="42">
        <v>259</v>
      </c>
      <c r="AB37" s="42">
        <v>259</v>
      </c>
      <c r="AC37" s="42">
        <v>259</v>
      </c>
      <c r="AD37" s="42">
        <v>259</v>
      </c>
      <c r="AE37" s="344">
        <v>259</v>
      </c>
      <c r="AF37" s="356" t="s">
        <v>1</v>
      </c>
    </row>
    <row r="38" spans="1:32" ht="12.75" customHeight="1">
      <c r="A38" s="8"/>
      <c r="B38" s="209" t="s">
        <v>122</v>
      </c>
      <c r="C38" s="225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>
        <v>603</v>
      </c>
      <c r="S38" s="226">
        <v>603</v>
      </c>
      <c r="T38" s="226">
        <v>603</v>
      </c>
      <c r="U38" s="226">
        <v>603</v>
      </c>
      <c r="V38" s="226">
        <v>603</v>
      </c>
      <c r="W38" s="226">
        <v>603</v>
      </c>
      <c r="X38" s="226">
        <v>603</v>
      </c>
      <c r="Y38" s="226">
        <v>603</v>
      </c>
      <c r="Z38" s="226">
        <v>603</v>
      </c>
      <c r="AA38" s="226">
        <v>603</v>
      </c>
      <c r="AB38" s="226">
        <v>603</v>
      </c>
      <c r="AC38" s="226">
        <v>603</v>
      </c>
      <c r="AD38" s="226">
        <v>603</v>
      </c>
      <c r="AE38" s="345">
        <v>610.2</v>
      </c>
      <c r="AF38" s="357" t="s">
        <v>122</v>
      </c>
    </row>
    <row r="39" spans="1:32" ht="12.75" customHeight="1">
      <c r="A39" s="8"/>
      <c r="B39" s="12" t="s">
        <v>40</v>
      </c>
      <c r="C39" s="43"/>
      <c r="D39" s="44"/>
      <c r="E39" s="44">
        <v>281</v>
      </c>
      <c r="F39" s="44">
        <v>387</v>
      </c>
      <c r="G39" s="44">
        <v>757</v>
      </c>
      <c r="H39" s="44"/>
      <c r="I39" s="44"/>
      <c r="J39" s="44"/>
      <c r="K39" s="44"/>
      <c r="L39" s="44"/>
      <c r="M39" s="44"/>
      <c r="N39" s="44"/>
      <c r="O39" s="44"/>
      <c r="P39" s="44">
        <v>1851</v>
      </c>
      <c r="Q39" s="44">
        <v>1851</v>
      </c>
      <c r="R39" s="44">
        <v>1882</v>
      </c>
      <c r="S39" s="44">
        <v>1741</v>
      </c>
      <c r="T39" s="140">
        <v>1667</v>
      </c>
      <c r="U39" s="44">
        <v>1908</v>
      </c>
      <c r="V39" s="44">
        <v>1908</v>
      </c>
      <c r="W39" s="44">
        <v>1922</v>
      </c>
      <c r="X39" s="44">
        <v>2036</v>
      </c>
      <c r="Y39" s="44">
        <v>2080</v>
      </c>
      <c r="Z39" s="44">
        <v>2119</v>
      </c>
      <c r="AA39" s="44">
        <v>2127</v>
      </c>
      <c r="AB39" s="44">
        <v>2244</v>
      </c>
      <c r="AC39" s="44">
        <v>2278</v>
      </c>
      <c r="AD39" s="44">
        <v>2282</v>
      </c>
      <c r="AE39" s="168">
        <v>2542</v>
      </c>
      <c r="AF39" s="157" t="s">
        <v>40</v>
      </c>
    </row>
    <row r="40" spans="1:32" ht="12.75" customHeight="1">
      <c r="A40" s="8"/>
      <c r="B40" s="269" t="s">
        <v>26</v>
      </c>
      <c r="C40" s="270" t="s">
        <v>59</v>
      </c>
      <c r="D40" s="271" t="s">
        <v>59</v>
      </c>
      <c r="E40" s="226" t="s">
        <v>59</v>
      </c>
      <c r="F40" s="226" t="s">
        <v>59</v>
      </c>
      <c r="G40" s="226" t="s">
        <v>59</v>
      </c>
      <c r="H40" s="226" t="s">
        <v>59</v>
      </c>
      <c r="I40" s="226" t="s">
        <v>59</v>
      </c>
      <c r="J40" s="226" t="s">
        <v>59</v>
      </c>
      <c r="K40" s="226" t="s">
        <v>59</v>
      </c>
      <c r="L40" s="226" t="s">
        <v>59</v>
      </c>
      <c r="M40" s="226" t="s">
        <v>59</v>
      </c>
      <c r="N40" s="226" t="s">
        <v>59</v>
      </c>
      <c r="O40" s="226" t="s">
        <v>62</v>
      </c>
      <c r="P40" s="226" t="s">
        <v>59</v>
      </c>
      <c r="Q40" s="226" t="s">
        <v>59</v>
      </c>
      <c r="R40" s="226" t="s">
        <v>59</v>
      </c>
      <c r="S40" s="226" t="s">
        <v>59</v>
      </c>
      <c r="T40" s="227">
        <v>11</v>
      </c>
      <c r="U40" s="226">
        <v>11</v>
      </c>
      <c r="V40" s="226">
        <v>11</v>
      </c>
      <c r="W40" s="226">
        <v>11</v>
      </c>
      <c r="X40" s="226">
        <v>11</v>
      </c>
      <c r="Y40" s="226">
        <v>11</v>
      </c>
      <c r="Z40" s="268">
        <v>11</v>
      </c>
      <c r="AA40" s="268">
        <v>11</v>
      </c>
      <c r="AB40" s="268">
        <v>11</v>
      </c>
      <c r="AC40" s="340">
        <v>11</v>
      </c>
      <c r="AD40" s="340">
        <v>11</v>
      </c>
      <c r="AE40" s="383">
        <v>11</v>
      </c>
      <c r="AF40" s="382" t="s">
        <v>26</v>
      </c>
    </row>
    <row r="41" spans="1:32" ht="12.75" customHeight="1">
      <c r="A41" s="8"/>
      <c r="B41" s="10" t="s">
        <v>56</v>
      </c>
      <c r="C41" s="45">
        <v>41</v>
      </c>
      <c r="D41" s="42">
        <v>57</v>
      </c>
      <c r="E41" s="42">
        <v>73</v>
      </c>
      <c r="F41" s="42"/>
      <c r="G41" s="42"/>
      <c r="H41" s="42"/>
      <c r="I41" s="42">
        <v>94</v>
      </c>
      <c r="J41" s="42">
        <v>107</v>
      </c>
      <c r="K41" s="42">
        <v>103</v>
      </c>
      <c r="L41" s="42">
        <v>109</v>
      </c>
      <c r="M41" s="42">
        <v>128</v>
      </c>
      <c r="N41" s="42">
        <v>128</v>
      </c>
      <c r="O41" s="42">
        <v>144</v>
      </c>
      <c r="P41" s="42">
        <v>143</v>
      </c>
      <c r="Q41" s="42">
        <v>173</v>
      </c>
      <c r="R41" s="228">
        <v>194</v>
      </c>
      <c r="S41" s="42">
        <v>194</v>
      </c>
      <c r="T41" s="138">
        <v>264</v>
      </c>
      <c r="U41" s="42">
        <v>271</v>
      </c>
      <c r="V41" s="42">
        <v>239</v>
      </c>
      <c r="W41" s="42">
        <v>253</v>
      </c>
      <c r="X41" s="42">
        <v>344</v>
      </c>
      <c r="Y41" s="42">
        <v>381</v>
      </c>
      <c r="Z41" s="42">
        <v>393</v>
      </c>
      <c r="AA41" s="42">
        <v>392</v>
      </c>
      <c r="AB41" s="228">
        <v>392</v>
      </c>
      <c r="AC41" s="228">
        <v>392</v>
      </c>
      <c r="AD41" s="228">
        <v>392</v>
      </c>
      <c r="AE41" s="224">
        <v>392</v>
      </c>
      <c r="AF41" s="356" t="s">
        <v>56</v>
      </c>
    </row>
    <row r="42" spans="1:32" ht="12.75" customHeight="1">
      <c r="A42" s="8"/>
      <c r="B42" s="232" t="s">
        <v>27</v>
      </c>
      <c r="C42" s="233"/>
      <c r="D42" s="234"/>
      <c r="E42" s="234">
        <v>1148</v>
      </c>
      <c r="F42" s="234">
        <v>1152</v>
      </c>
      <c r="G42" s="234">
        <v>1164</v>
      </c>
      <c r="H42" s="234">
        <v>1184</v>
      </c>
      <c r="I42" s="234">
        <v>1184</v>
      </c>
      <c r="J42" s="234">
        <v>1197</v>
      </c>
      <c r="K42" s="234">
        <v>1244</v>
      </c>
      <c r="L42" s="234">
        <v>1244</v>
      </c>
      <c r="M42" s="234">
        <v>1262</v>
      </c>
      <c r="N42" s="234">
        <v>1267</v>
      </c>
      <c r="O42" s="234">
        <v>1270</v>
      </c>
      <c r="P42" s="234">
        <v>1305</v>
      </c>
      <c r="Q42" s="234">
        <v>1304</v>
      </c>
      <c r="R42" s="234">
        <v>1351</v>
      </c>
      <c r="S42" s="234">
        <v>1341</v>
      </c>
      <c r="T42" s="235">
        <v>1358</v>
      </c>
      <c r="U42" s="234">
        <v>1361</v>
      </c>
      <c r="V42" s="234">
        <v>1383</v>
      </c>
      <c r="W42" s="234">
        <v>1383</v>
      </c>
      <c r="X42" s="234">
        <v>1406</v>
      </c>
      <c r="Y42" s="234">
        <v>1406</v>
      </c>
      <c r="Z42" s="234">
        <v>1415</v>
      </c>
      <c r="AA42" s="234">
        <v>1419</v>
      </c>
      <c r="AB42" s="234">
        <v>1419</v>
      </c>
      <c r="AC42" s="234">
        <v>1429</v>
      </c>
      <c r="AD42" s="234">
        <v>1440</v>
      </c>
      <c r="AE42" s="236">
        <v>1447</v>
      </c>
      <c r="AF42" s="237" t="s">
        <v>27</v>
      </c>
    </row>
    <row r="43" spans="1:31" ht="12.75" customHeight="1">
      <c r="A43" s="8"/>
      <c r="B43" s="398" t="s">
        <v>125</v>
      </c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  <c r="V43" s="399"/>
      <c r="W43" s="399"/>
      <c r="X43" s="40"/>
      <c r="Y43" s="40"/>
      <c r="Z43" s="40"/>
      <c r="AA43" s="40"/>
      <c r="AB43" s="40"/>
      <c r="AC43" s="40"/>
      <c r="AD43" s="40"/>
      <c r="AE43" s="40"/>
    </row>
    <row r="44" spans="1:17" ht="12.75" customHeight="1">
      <c r="A44" s="8"/>
      <c r="B44" s="5" t="s">
        <v>115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2.75" customHeight="1">
      <c r="A45" s="8"/>
      <c r="B45" s="386" t="s">
        <v>155</v>
      </c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ht="11.25" customHeight="1">
      <c r="B46" s="161" t="s">
        <v>104</v>
      </c>
    </row>
    <row r="47" ht="12.75" customHeight="1">
      <c r="B47" s="163" t="s">
        <v>102</v>
      </c>
    </row>
    <row r="48" spans="2:22" ht="12.75" customHeight="1">
      <c r="B48" s="161" t="s">
        <v>103</v>
      </c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</row>
    <row r="49" spans="2:51" ht="12.75" customHeight="1">
      <c r="B49" s="214" t="s">
        <v>156</v>
      </c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</row>
    <row r="50" ht="12.75" customHeight="1"/>
  </sheetData>
  <sheetProtection/>
  <mergeCells count="4">
    <mergeCell ref="B1:C1"/>
    <mergeCell ref="B43:W43"/>
    <mergeCell ref="B2:AF2"/>
    <mergeCell ref="B3:AF3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="115" zoomScaleNormal="115" zoomScalePageLayoutView="0" workbookViewId="0" topLeftCell="A18">
      <selection activeCell="F70" sqref="F70"/>
    </sheetView>
  </sheetViews>
  <sheetFormatPr defaultColWidth="9.140625" defaultRowHeight="12.75"/>
  <cols>
    <col min="1" max="1" width="2.7109375" style="0" customWidth="1"/>
    <col min="2" max="2" width="4.28125" style="0" customWidth="1"/>
    <col min="3" max="6" width="10.7109375" style="0" customWidth="1"/>
    <col min="7" max="7" width="4.00390625" style="6" customWidth="1"/>
    <col min="8" max="8" width="3.00390625" style="6" customWidth="1"/>
  </cols>
  <sheetData>
    <row r="1" spans="2:8" ht="15" customHeight="1">
      <c r="B1" s="404"/>
      <c r="C1" s="404"/>
      <c r="D1" s="34"/>
      <c r="E1" s="34"/>
      <c r="F1" s="405" t="s">
        <v>108</v>
      </c>
      <c r="G1" s="406"/>
      <c r="H1" s="376"/>
    </row>
    <row r="2" spans="2:8" ht="30" customHeight="1">
      <c r="B2" s="407" t="s">
        <v>23</v>
      </c>
      <c r="C2" s="407"/>
      <c r="D2" s="407"/>
      <c r="E2" s="407"/>
      <c r="F2" s="407"/>
      <c r="G2" s="407"/>
      <c r="H2" s="136"/>
    </row>
    <row r="3" spans="3:8" ht="15" customHeight="1">
      <c r="C3" s="408" t="s">
        <v>157</v>
      </c>
      <c r="D3" s="409"/>
      <c r="E3" s="409"/>
      <c r="F3" s="409"/>
      <c r="G3" s="81"/>
      <c r="H3" s="81"/>
    </row>
    <row r="4" spans="2:8" ht="12.75" customHeight="1">
      <c r="B4" s="6"/>
      <c r="C4" s="401" t="s">
        <v>73</v>
      </c>
      <c r="D4" s="401" t="s">
        <v>83</v>
      </c>
      <c r="E4" s="401" t="s">
        <v>84</v>
      </c>
      <c r="F4" s="401" t="s">
        <v>158</v>
      </c>
      <c r="G4" s="172"/>
      <c r="H4" s="172"/>
    </row>
    <row r="5" spans="2:8" ht="12.75" customHeight="1">
      <c r="B5" s="6"/>
      <c r="C5" s="402"/>
      <c r="D5" s="402"/>
      <c r="E5" s="402"/>
      <c r="F5" s="402"/>
      <c r="G5" s="172"/>
      <c r="H5" s="172"/>
    </row>
    <row r="6" spans="2:8" ht="12.75">
      <c r="B6" s="6"/>
      <c r="C6" s="402"/>
      <c r="D6" s="402"/>
      <c r="E6" s="402"/>
      <c r="F6" s="402"/>
      <c r="G6" s="172"/>
      <c r="H6" s="172"/>
    </row>
    <row r="7" spans="2:8" ht="7.5" customHeight="1">
      <c r="B7" s="6"/>
      <c r="C7" s="403"/>
      <c r="D7" s="403"/>
      <c r="E7" s="403"/>
      <c r="F7" s="403"/>
      <c r="G7" s="172"/>
      <c r="H7" s="172"/>
    </row>
    <row r="8" spans="1:8" ht="12.75" customHeight="1">
      <c r="A8" s="8"/>
      <c r="B8" s="9" t="s">
        <v>45</v>
      </c>
      <c r="C8" s="275">
        <v>1763</v>
      </c>
      <c r="D8" s="276">
        <v>13229</v>
      </c>
      <c r="E8" s="276">
        <v>1349</v>
      </c>
      <c r="F8" s="277">
        <v>138869</v>
      </c>
      <c r="G8" s="9" t="s">
        <v>45</v>
      </c>
      <c r="H8" s="321"/>
    </row>
    <row r="9" spans="1:8" ht="12.75" customHeight="1">
      <c r="A9" s="8"/>
      <c r="B9" s="52" t="s">
        <v>28</v>
      </c>
      <c r="C9" s="278">
        <v>740</v>
      </c>
      <c r="D9" s="223">
        <v>2983</v>
      </c>
      <c r="E9" s="279">
        <v>4028</v>
      </c>
      <c r="F9" s="280">
        <v>12515</v>
      </c>
      <c r="G9" s="52" t="s">
        <v>28</v>
      </c>
      <c r="H9" s="172"/>
    </row>
    <row r="10" spans="1:8" ht="12.75" customHeight="1">
      <c r="A10" s="8"/>
      <c r="B10" s="10" t="s">
        <v>30</v>
      </c>
      <c r="C10" s="281">
        <v>1222.7</v>
      </c>
      <c r="D10" s="282">
        <v>5807.3</v>
      </c>
      <c r="E10" s="282">
        <f>14592.7+34134.6</f>
        <v>48727.3</v>
      </c>
      <c r="F10" s="283">
        <v>74919</v>
      </c>
      <c r="G10" s="10" t="s">
        <v>30</v>
      </c>
      <c r="H10" s="172"/>
    </row>
    <row r="11" spans="1:8" ht="12.75" customHeight="1">
      <c r="A11" s="8"/>
      <c r="B11" s="209" t="s">
        <v>41</v>
      </c>
      <c r="C11" s="284">
        <v>1255</v>
      </c>
      <c r="D11" s="230">
        <v>2598</v>
      </c>
      <c r="E11" s="413">
        <v>70705</v>
      </c>
      <c r="F11" s="414"/>
      <c r="G11" s="209" t="s">
        <v>41</v>
      </c>
      <c r="H11" s="172"/>
    </row>
    <row r="12" spans="1:8" ht="12.75" customHeight="1">
      <c r="A12" s="8"/>
      <c r="B12" s="10" t="s">
        <v>46</v>
      </c>
      <c r="C12" s="281">
        <v>12996</v>
      </c>
      <c r="D12" s="282">
        <v>38068</v>
      </c>
      <c r="E12" s="282">
        <v>178906</v>
      </c>
      <c r="F12" s="224"/>
      <c r="G12" s="10" t="s">
        <v>46</v>
      </c>
      <c r="H12" s="172"/>
    </row>
    <row r="13" spans="1:8" ht="12.75" customHeight="1">
      <c r="A13" s="8"/>
      <c r="B13" s="52" t="s">
        <v>31</v>
      </c>
      <c r="C13" s="278">
        <v>145</v>
      </c>
      <c r="D13" s="223">
        <f>1609-C13+2405</f>
        <v>3869</v>
      </c>
      <c r="E13" s="223">
        <f>12478+102</f>
        <v>12580</v>
      </c>
      <c r="F13" s="221">
        <v>42342</v>
      </c>
      <c r="G13" s="52" t="s">
        <v>31</v>
      </c>
      <c r="H13" s="172"/>
    </row>
    <row r="14" spans="1:8" ht="12.75" customHeight="1">
      <c r="A14" s="8"/>
      <c r="B14" s="10" t="s">
        <v>49</v>
      </c>
      <c r="C14" s="281">
        <v>916</v>
      </c>
      <c r="D14" s="282">
        <v>4390</v>
      </c>
      <c r="E14" s="282">
        <v>13120</v>
      </c>
      <c r="F14" s="283">
        <v>80472</v>
      </c>
      <c r="G14" s="10" t="s">
        <v>49</v>
      </c>
      <c r="H14" s="172"/>
    </row>
    <row r="15" spans="1:8" ht="12.75" customHeight="1">
      <c r="A15" s="8"/>
      <c r="B15" s="52" t="s">
        <v>42</v>
      </c>
      <c r="C15" s="278">
        <v>1842.8</v>
      </c>
      <c r="D15" s="223">
        <v>9299</v>
      </c>
      <c r="E15" s="223">
        <v>30864</v>
      </c>
      <c r="F15" s="221">
        <v>75600</v>
      </c>
      <c r="G15" s="52" t="s">
        <v>42</v>
      </c>
      <c r="H15" s="172"/>
    </row>
    <row r="16" spans="1:8" ht="12.75" customHeight="1">
      <c r="A16" s="8"/>
      <c r="B16" s="10" t="s">
        <v>47</v>
      </c>
      <c r="C16" s="281">
        <v>15444</v>
      </c>
      <c r="D16" s="282">
        <f>14438+508</f>
        <v>14946</v>
      </c>
      <c r="E16" s="282">
        <f>67289+766+391+66648</f>
        <v>135094</v>
      </c>
      <c r="F16" s="224">
        <v>501053</v>
      </c>
      <c r="G16" s="10" t="s">
        <v>47</v>
      </c>
      <c r="H16" s="172"/>
    </row>
    <row r="17" spans="1:8" ht="12.75" customHeight="1">
      <c r="A17" s="8"/>
      <c r="B17" s="52" t="s">
        <v>48</v>
      </c>
      <c r="C17" s="278">
        <v>11612</v>
      </c>
      <c r="D17" s="223">
        <v>9585</v>
      </c>
      <c r="E17" s="223">
        <v>381319</v>
      </c>
      <c r="F17" s="221">
        <v>700849</v>
      </c>
      <c r="G17" s="52" t="s">
        <v>48</v>
      </c>
      <c r="H17" s="172"/>
    </row>
    <row r="18" spans="1:8" ht="12.75" customHeight="1">
      <c r="A18" s="8"/>
      <c r="B18" s="10" t="s">
        <v>60</v>
      </c>
      <c r="C18" s="285">
        <v>1310</v>
      </c>
      <c r="D18" s="282">
        <v>6937</v>
      </c>
      <c r="E18" s="282">
        <v>9504</v>
      </c>
      <c r="F18" s="283">
        <v>9003</v>
      </c>
      <c r="G18" s="10" t="s">
        <v>60</v>
      </c>
      <c r="H18" s="172"/>
    </row>
    <row r="19" spans="1:8" ht="12.75" customHeight="1">
      <c r="A19" s="8"/>
      <c r="B19" s="209" t="s">
        <v>50</v>
      </c>
      <c r="C19" s="284">
        <v>6943.2</v>
      </c>
      <c r="D19" s="230">
        <v>21686</v>
      </c>
      <c r="E19" s="230">
        <v>155668</v>
      </c>
      <c r="F19" s="231">
        <v>74719</v>
      </c>
      <c r="G19" s="209" t="s">
        <v>50</v>
      </c>
      <c r="H19" s="172"/>
    </row>
    <row r="20" spans="1:8" ht="12.75" customHeight="1">
      <c r="A20" s="8"/>
      <c r="B20" s="10" t="s">
        <v>29</v>
      </c>
      <c r="C20" s="281">
        <v>272</v>
      </c>
      <c r="D20" s="282">
        <f>2219</f>
        <v>2219</v>
      </c>
      <c r="E20" s="282">
        <f>1798+515</f>
        <v>2313</v>
      </c>
      <c r="F20" s="283">
        <f>4170+724+172</f>
        <v>5066</v>
      </c>
      <c r="G20" s="10" t="s">
        <v>29</v>
      </c>
      <c r="H20" s="172"/>
    </row>
    <row r="21" spans="1:8" ht="12.75" customHeight="1">
      <c r="A21" s="8"/>
      <c r="B21" s="209" t="s">
        <v>33</v>
      </c>
      <c r="C21" s="286" t="s">
        <v>59</v>
      </c>
      <c r="D21" s="230">
        <v>1672</v>
      </c>
      <c r="E21" s="230">
        <f>4611+856</f>
        <v>5467</v>
      </c>
      <c r="F21" s="231">
        <f>2725+10219+57+5923+32419+24+9536</f>
        <v>60903</v>
      </c>
      <c r="G21" s="209" t="s">
        <v>33</v>
      </c>
      <c r="H21" s="172"/>
    </row>
    <row r="22" spans="1:8" ht="12.75" customHeight="1">
      <c r="A22" s="8"/>
      <c r="B22" s="10" t="s">
        <v>34</v>
      </c>
      <c r="C22" s="281">
        <v>314</v>
      </c>
      <c r="D22" s="287">
        <f>1751+4925-314</f>
        <v>6362</v>
      </c>
      <c r="E22" s="287">
        <v>14568</v>
      </c>
      <c r="F22" s="288">
        <v>50664</v>
      </c>
      <c r="G22" s="10" t="s">
        <v>34</v>
      </c>
      <c r="H22" s="172"/>
    </row>
    <row r="23" spans="1:8" ht="12.75" customHeight="1">
      <c r="A23" s="8"/>
      <c r="B23" s="209" t="s">
        <v>51</v>
      </c>
      <c r="C23" s="284">
        <v>161</v>
      </c>
      <c r="D23" s="230">
        <v>837</v>
      </c>
      <c r="E23" s="413">
        <v>1891</v>
      </c>
      <c r="F23" s="414"/>
      <c r="G23" s="209" t="s">
        <v>51</v>
      </c>
      <c r="H23" s="172"/>
    </row>
    <row r="24" spans="1:8" ht="12.75" customHeight="1">
      <c r="A24" s="8"/>
      <c r="B24" s="10" t="s">
        <v>32</v>
      </c>
      <c r="C24" s="281">
        <v>1924</v>
      </c>
      <c r="D24" s="415">
        <v>30061.5</v>
      </c>
      <c r="E24" s="415"/>
      <c r="F24" s="283">
        <v>174599.35</v>
      </c>
      <c r="G24" s="10" t="s">
        <v>32</v>
      </c>
      <c r="H24" s="172"/>
    </row>
    <row r="25" spans="1:8" ht="12.75" customHeight="1">
      <c r="A25" s="8"/>
      <c r="B25" s="209" t="s">
        <v>35</v>
      </c>
      <c r="C25" s="286" t="s">
        <v>59</v>
      </c>
      <c r="D25" s="413">
        <v>2855.48</v>
      </c>
      <c r="E25" s="413"/>
      <c r="F25" s="414"/>
      <c r="G25" s="209" t="s">
        <v>35</v>
      </c>
      <c r="H25" s="172"/>
    </row>
    <row r="26" spans="1:8" ht="12.75" customHeight="1">
      <c r="A26" s="8"/>
      <c r="B26" s="10" t="s">
        <v>43</v>
      </c>
      <c r="C26" s="281">
        <v>2758</v>
      </c>
      <c r="D26" s="282">
        <f>5357-C26</f>
        <v>2599</v>
      </c>
      <c r="E26" s="282">
        <v>7757</v>
      </c>
      <c r="F26" s="283">
        <v>126180</v>
      </c>
      <c r="G26" s="10" t="s">
        <v>43</v>
      </c>
      <c r="H26" s="172"/>
    </row>
    <row r="27" spans="1:8" ht="12.75" customHeight="1">
      <c r="A27" s="8"/>
      <c r="B27" s="209" t="s">
        <v>52</v>
      </c>
      <c r="C27" s="284">
        <v>1743.464</v>
      </c>
      <c r="D27" s="230">
        <f>10450.269+489.099</f>
        <v>10939.368</v>
      </c>
      <c r="E27" s="230">
        <v>23724.484</v>
      </c>
      <c r="F27" s="231">
        <v>100632.503</v>
      </c>
      <c r="G27" s="209" t="s">
        <v>52</v>
      </c>
      <c r="H27" s="172"/>
    </row>
    <row r="28" spans="1:8" ht="12.75" customHeight="1">
      <c r="A28" s="8"/>
      <c r="B28" s="10" t="s">
        <v>36</v>
      </c>
      <c r="C28" s="281">
        <v>1640</v>
      </c>
      <c r="D28" s="282">
        <f>19388-C28</f>
        <v>17748</v>
      </c>
      <c r="E28" s="282">
        <v>153865</v>
      </c>
      <c r="F28" s="283">
        <v>246983</v>
      </c>
      <c r="G28" s="10" t="s">
        <v>36</v>
      </c>
      <c r="H28" s="172"/>
    </row>
    <row r="29" spans="1:8" ht="12.75" customHeight="1">
      <c r="A29" s="8"/>
      <c r="B29" s="209" t="s">
        <v>53</v>
      </c>
      <c r="C29" s="284">
        <v>3065</v>
      </c>
      <c r="D29" s="230">
        <f>14313-4791-3065</f>
        <v>6457</v>
      </c>
      <c r="E29" s="230">
        <v>4791</v>
      </c>
      <c r="F29" s="272"/>
      <c r="G29" s="209" t="s">
        <v>53</v>
      </c>
      <c r="H29" s="172"/>
    </row>
    <row r="30" spans="1:8" ht="12.75" customHeight="1">
      <c r="A30" s="8"/>
      <c r="B30" s="10" t="s">
        <v>37</v>
      </c>
      <c r="C30" s="281">
        <v>747</v>
      </c>
      <c r="D30" s="282">
        <v>16865</v>
      </c>
      <c r="E30" s="287">
        <v>35361</v>
      </c>
      <c r="F30" s="288">
        <v>33107</v>
      </c>
      <c r="G30" s="10" t="s">
        <v>37</v>
      </c>
      <c r="H30" s="172"/>
    </row>
    <row r="31" spans="1:8" ht="12.75" customHeight="1">
      <c r="A31" s="8"/>
      <c r="B31" s="209" t="s">
        <v>39</v>
      </c>
      <c r="C31" s="284">
        <v>772.95</v>
      </c>
      <c r="D31" s="230">
        <v>5762.359</v>
      </c>
      <c r="E31" s="230">
        <v>13363.519</v>
      </c>
      <c r="F31" s="231">
        <v>18878.648</v>
      </c>
      <c r="G31" s="209" t="s">
        <v>39</v>
      </c>
      <c r="H31" s="172"/>
    </row>
    <row r="32" spans="1:8" ht="12.75" customHeight="1">
      <c r="A32" s="8"/>
      <c r="B32" s="10" t="s">
        <v>38</v>
      </c>
      <c r="C32" s="281">
        <v>463.207</v>
      </c>
      <c r="D32" s="282">
        <v>3580.163</v>
      </c>
      <c r="E32" s="282">
        <v>13974.001</v>
      </c>
      <c r="F32" s="283">
        <v>38894.52</v>
      </c>
      <c r="G32" s="10" t="s">
        <v>38</v>
      </c>
      <c r="H32" s="172"/>
    </row>
    <row r="33" spans="1:8" ht="12.75" customHeight="1">
      <c r="A33" s="8"/>
      <c r="B33" s="209" t="s">
        <v>54</v>
      </c>
      <c r="C33" s="284">
        <v>890</v>
      </c>
      <c r="D33" s="230">
        <f>8605+4860-890</f>
        <v>12575</v>
      </c>
      <c r="E33" s="230">
        <v>13451</v>
      </c>
      <c r="F33" s="231">
        <v>51065</v>
      </c>
      <c r="G33" s="209" t="s">
        <v>54</v>
      </c>
      <c r="H33" s="172"/>
    </row>
    <row r="34" spans="1:8" ht="12.75" customHeight="1">
      <c r="A34" s="8"/>
      <c r="B34" s="10" t="s">
        <v>55</v>
      </c>
      <c r="C34" s="281">
        <v>2118</v>
      </c>
      <c r="D34" s="282">
        <v>13576</v>
      </c>
      <c r="E34" s="282">
        <v>156920</v>
      </c>
      <c r="F34" s="283">
        <v>42291</v>
      </c>
      <c r="G34" s="10" t="s">
        <v>55</v>
      </c>
      <c r="H34" s="172"/>
    </row>
    <row r="35" spans="1:8" ht="12.75" customHeight="1">
      <c r="A35" s="8"/>
      <c r="B35" s="209" t="s">
        <v>44</v>
      </c>
      <c r="C35" s="284">
        <v>3764.33</v>
      </c>
      <c r="D35" s="230">
        <f>46815+208.9+2086.4</f>
        <v>49110.3</v>
      </c>
      <c r="E35" s="230">
        <f>30295+1.7+2894.4</f>
        <v>33191.1</v>
      </c>
      <c r="F35" s="231">
        <f>315959+1.3+4721.6+0.9+15561.1</f>
        <v>336243.89999999997</v>
      </c>
      <c r="G35" s="209" t="s">
        <v>44</v>
      </c>
      <c r="H35" s="172"/>
    </row>
    <row r="36" spans="1:8" ht="12.75" customHeight="1">
      <c r="A36" s="8"/>
      <c r="B36" s="9" t="s">
        <v>123</v>
      </c>
      <c r="C36" s="275"/>
      <c r="D36" s="276"/>
      <c r="E36" s="276"/>
      <c r="F36" s="277"/>
      <c r="G36" s="9" t="s">
        <v>123</v>
      </c>
      <c r="H36" s="172"/>
    </row>
    <row r="37" spans="1:8" ht="12.75" customHeight="1">
      <c r="A37" s="8"/>
      <c r="B37" s="209" t="s">
        <v>121</v>
      </c>
      <c r="C37" s="286" t="s">
        <v>59</v>
      </c>
      <c r="D37" s="413">
        <f>8625-814</f>
        <v>7811</v>
      </c>
      <c r="E37" s="413"/>
      <c r="F37" s="414"/>
      <c r="G37" s="209" t="s">
        <v>121</v>
      </c>
      <c r="H37" s="172"/>
    </row>
    <row r="38" spans="1:8" ht="12.75" customHeight="1">
      <c r="A38" s="8"/>
      <c r="B38" s="10" t="s">
        <v>1</v>
      </c>
      <c r="C38" s="281">
        <v>259</v>
      </c>
      <c r="D38" s="282">
        <f>899-C38</f>
        <v>640</v>
      </c>
      <c r="E38" s="282">
        <v>3778</v>
      </c>
      <c r="F38" s="283">
        <v>9733</v>
      </c>
      <c r="G38" s="10" t="s">
        <v>1</v>
      </c>
      <c r="H38" s="172"/>
    </row>
    <row r="39" spans="1:8" ht="12.75" customHeight="1">
      <c r="A39" s="8"/>
      <c r="B39" s="209" t="s">
        <v>122</v>
      </c>
      <c r="C39" s="284">
        <v>610.2</v>
      </c>
      <c r="D39" s="230">
        <f>4644-C39</f>
        <v>4033.8</v>
      </c>
      <c r="E39" s="230">
        <v>11392</v>
      </c>
      <c r="F39" s="231">
        <v>29374</v>
      </c>
      <c r="G39" s="209" t="s">
        <v>122</v>
      </c>
      <c r="H39" s="172"/>
    </row>
    <row r="40" spans="1:8" ht="12.75">
      <c r="A40" s="8"/>
      <c r="B40" s="12" t="s">
        <v>40</v>
      </c>
      <c r="C40" s="289">
        <v>2542</v>
      </c>
      <c r="D40" s="290">
        <v>31106</v>
      </c>
      <c r="E40" s="290">
        <v>33513</v>
      </c>
      <c r="F40" s="291">
        <v>175429</v>
      </c>
      <c r="G40" s="12" t="s">
        <v>40</v>
      </c>
      <c r="H40" s="172"/>
    </row>
    <row r="41" spans="1:8" ht="12.75" customHeight="1">
      <c r="A41" s="8"/>
      <c r="B41" s="269" t="s">
        <v>26</v>
      </c>
      <c r="C41" s="268">
        <v>11</v>
      </c>
      <c r="D41" s="230">
        <v>4919</v>
      </c>
      <c r="E41" s="230">
        <v>2950</v>
      </c>
      <c r="F41" s="230">
        <v>5010</v>
      </c>
      <c r="G41" s="269" t="s">
        <v>26</v>
      </c>
      <c r="H41" s="172"/>
    </row>
    <row r="42" spans="1:8" ht="12.75" customHeight="1">
      <c r="A42" s="8"/>
      <c r="B42" s="10" t="s">
        <v>56</v>
      </c>
      <c r="C42" s="228">
        <v>392</v>
      </c>
      <c r="D42" s="282">
        <v>10695</v>
      </c>
      <c r="E42" s="282">
        <v>44541</v>
      </c>
      <c r="F42" s="282">
        <v>39406</v>
      </c>
      <c r="G42" s="10" t="s">
        <v>56</v>
      </c>
      <c r="H42" s="172"/>
    </row>
    <row r="43" spans="1:8" ht="16.5" customHeight="1">
      <c r="A43" s="8"/>
      <c r="B43" s="232" t="s">
        <v>27</v>
      </c>
      <c r="C43" s="230">
        <v>1447</v>
      </c>
      <c r="D43" s="230">
        <v>393</v>
      </c>
      <c r="E43" s="230">
        <v>17854</v>
      </c>
      <c r="F43" s="230">
        <v>51846</v>
      </c>
      <c r="G43" s="232" t="s">
        <v>27</v>
      </c>
      <c r="H43" s="172"/>
    </row>
    <row r="44" spans="2:8" ht="30" customHeight="1">
      <c r="B44" s="398" t="s">
        <v>126</v>
      </c>
      <c r="C44" s="398"/>
      <c r="D44" s="398"/>
      <c r="E44" s="398"/>
      <c r="F44" s="398"/>
      <c r="G44" s="398"/>
      <c r="H44" s="178"/>
    </row>
    <row r="45" spans="2:8" ht="12.75" customHeight="1">
      <c r="B45" s="410" t="s">
        <v>0</v>
      </c>
      <c r="C45" s="410"/>
      <c r="D45" s="410"/>
      <c r="E45" s="410"/>
      <c r="F45" s="410"/>
      <c r="G45" s="410"/>
      <c r="H45" s="375"/>
    </row>
    <row r="46" spans="2:8" ht="12.75" customHeight="1">
      <c r="B46" s="175" t="s">
        <v>160</v>
      </c>
      <c r="C46" s="375"/>
      <c r="D46" s="375"/>
      <c r="E46" s="375"/>
      <c r="F46" s="375"/>
      <c r="G46" s="375"/>
      <c r="H46" s="375"/>
    </row>
    <row r="47" spans="2:8" ht="23.25" customHeight="1">
      <c r="B47" s="411" t="s">
        <v>159</v>
      </c>
      <c r="C47" s="412"/>
      <c r="D47" s="412"/>
      <c r="E47" s="412"/>
      <c r="F47" s="412"/>
      <c r="G47" s="412"/>
      <c r="H47" s="174"/>
    </row>
    <row r="48" spans="2:8" ht="12.75" customHeight="1">
      <c r="B48" s="411" t="s">
        <v>88</v>
      </c>
      <c r="C48" s="412"/>
      <c r="D48" s="412"/>
      <c r="E48" s="412"/>
      <c r="F48" s="412"/>
      <c r="G48" s="412"/>
      <c r="H48" s="174"/>
    </row>
    <row r="49" ht="12.75" customHeight="1"/>
    <row r="50" ht="12.75">
      <c r="B50" s="175"/>
    </row>
    <row r="51" spans="7:8" ht="12.75">
      <c r="G51"/>
      <c r="H51"/>
    </row>
  </sheetData>
  <sheetProtection/>
  <mergeCells count="17">
    <mergeCell ref="B45:G45"/>
    <mergeCell ref="B47:G47"/>
    <mergeCell ref="B48:G48"/>
    <mergeCell ref="E11:F11"/>
    <mergeCell ref="E23:F23"/>
    <mergeCell ref="D25:F25"/>
    <mergeCell ref="D37:F37"/>
    <mergeCell ref="B44:G44"/>
    <mergeCell ref="D24:E24"/>
    <mergeCell ref="C4:C7"/>
    <mergeCell ref="D4:D7"/>
    <mergeCell ref="E4:E7"/>
    <mergeCell ref="F4:F7"/>
    <mergeCell ref="B1:C1"/>
    <mergeCell ref="F1:G1"/>
    <mergeCell ref="B2:G2"/>
    <mergeCell ref="C3:F3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48"/>
  <sheetViews>
    <sheetView zoomScalePageLayoutView="0" workbookViewId="0" topLeftCell="A1">
      <selection activeCell="AC3" sqref="AC3"/>
    </sheetView>
  </sheetViews>
  <sheetFormatPr defaultColWidth="9.140625" defaultRowHeight="12.75"/>
  <cols>
    <col min="1" max="1" width="2.7109375" style="2" customWidth="1"/>
    <col min="2" max="2" width="4.00390625" style="2" customWidth="1"/>
    <col min="3" max="4" width="6.7109375" style="2" customWidth="1"/>
    <col min="5" max="6" width="6.8515625" style="2" customWidth="1"/>
    <col min="7" max="7" width="6.7109375" style="2" customWidth="1"/>
    <col min="8" max="8" width="8.140625" style="2" customWidth="1"/>
    <col min="9" max="10" width="6.7109375" style="2" customWidth="1"/>
    <col min="11" max="19" width="6.8515625" style="2" customWidth="1"/>
    <col min="20" max="27" width="6.7109375" style="2" customWidth="1"/>
    <col min="28" max="28" width="8.57421875" style="2" customWidth="1"/>
    <col min="29" max="29" width="7.00390625" style="2" customWidth="1"/>
    <col min="30" max="37" width="9.8515625" style="2" customWidth="1"/>
    <col min="38" max="38" width="7.00390625" style="2" customWidth="1"/>
    <col min="39" max="39" width="5.00390625" style="2" customWidth="1"/>
    <col min="40" max="16384" width="9.140625" style="2" customWidth="1"/>
  </cols>
  <sheetData>
    <row r="1" spans="2:39" ht="14.25" customHeight="1">
      <c r="B1" s="397"/>
      <c r="C1" s="397"/>
      <c r="D1" s="28"/>
      <c r="E1" s="25"/>
      <c r="F1" s="25"/>
      <c r="G1" s="25"/>
      <c r="H1" s="25"/>
      <c r="I1" s="25"/>
      <c r="J1" s="25"/>
      <c r="K1" s="25"/>
      <c r="L1" s="25"/>
      <c r="AE1" s="18"/>
      <c r="AF1" s="18"/>
      <c r="AG1" s="18"/>
      <c r="AH1" s="18"/>
      <c r="AI1" s="18"/>
      <c r="AJ1" s="18"/>
      <c r="AK1" s="18"/>
      <c r="AL1" s="18" t="s">
        <v>109</v>
      </c>
      <c r="AM1" s="18"/>
    </row>
    <row r="2" spans="2:39" ht="30" customHeight="1">
      <c r="B2" s="400" t="s">
        <v>80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169"/>
    </row>
    <row r="3" spans="2:39" ht="12.75" customHeight="1">
      <c r="B3" s="3"/>
      <c r="C3" s="3"/>
      <c r="E3" s="23"/>
      <c r="F3" s="23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 t="s">
        <v>5</v>
      </c>
      <c r="AC3" s="158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2:39" ht="23.25" customHeight="1">
      <c r="B4" s="165"/>
      <c r="C4" s="146">
        <v>1970</v>
      </c>
      <c r="D4" s="147">
        <v>1980</v>
      </c>
      <c r="E4" s="147">
        <v>1990</v>
      </c>
      <c r="F4" s="147">
        <v>1995</v>
      </c>
      <c r="G4" s="147">
        <v>1996</v>
      </c>
      <c r="H4" s="147">
        <v>1997</v>
      </c>
      <c r="I4" s="147">
        <v>1998</v>
      </c>
      <c r="J4" s="147">
        <v>1999</v>
      </c>
      <c r="K4" s="147">
        <v>2000</v>
      </c>
      <c r="L4" s="147">
        <v>2001</v>
      </c>
      <c r="M4" s="147">
        <v>2002</v>
      </c>
      <c r="N4" s="147">
        <v>2003</v>
      </c>
      <c r="O4" s="147">
        <v>2004</v>
      </c>
      <c r="P4" s="147">
        <v>2005</v>
      </c>
      <c r="Q4" s="147">
        <v>2006</v>
      </c>
      <c r="R4" s="147">
        <v>2007</v>
      </c>
      <c r="S4" s="147">
        <v>2008</v>
      </c>
      <c r="T4" s="147">
        <v>2009</v>
      </c>
      <c r="U4" s="147">
        <v>2010</v>
      </c>
      <c r="V4" s="147">
        <v>2011</v>
      </c>
      <c r="W4" s="147">
        <v>2012</v>
      </c>
      <c r="X4" s="147">
        <v>2013</v>
      </c>
      <c r="Y4" s="147">
        <v>2014</v>
      </c>
      <c r="Z4" s="147">
        <v>2015</v>
      </c>
      <c r="AA4" s="147">
        <v>2016</v>
      </c>
      <c r="AB4" s="215"/>
      <c r="AC4" s="216"/>
      <c r="AD4" s="216"/>
      <c r="AE4" s="216"/>
      <c r="AF4" s="216"/>
      <c r="AG4" s="216"/>
      <c r="AH4" s="216"/>
      <c r="AI4" s="216"/>
      <c r="AJ4" s="216"/>
      <c r="AK4" s="216" t="s">
        <v>86</v>
      </c>
      <c r="AL4" s="217"/>
      <c r="AM4" s="24"/>
    </row>
    <row r="5" spans="2:39" ht="12" customHeight="1">
      <c r="B5" s="164"/>
      <c r="C5" s="148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218">
        <v>2007</v>
      </c>
      <c r="AC5" s="219">
        <v>2008</v>
      </c>
      <c r="AD5" s="219">
        <v>2009</v>
      </c>
      <c r="AE5" s="219">
        <v>2010</v>
      </c>
      <c r="AF5" s="219">
        <v>2011</v>
      </c>
      <c r="AG5" s="219">
        <v>2012</v>
      </c>
      <c r="AH5" s="219">
        <v>2013</v>
      </c>
      <c r="AI5" s="219">
        <v>2014</v>
      </c>
      <c r="AJ5" s="219">
        <v>2015</v>
      </c>
      <c r="AK5" s="219">
        <v>2016</v>
      </c>
      <c r="AL5" s="220" t="s">
        <v>58</v>
      </c>
      <c r="AM5" s="7"/>
    </row>
    <row r="6" spans="2:39" ht="12.75" customHeight="1">
      <c r="B6" s="51" t="s">
        <v>124</v>
      </c>
      <c r="C6" s="361">
        <f>13308+SUM(C7:C34)</f>
        <v>248269</v>
      </c>
      <c r="D6" s="362">
        <f>13131+SUM(D7:D34)</f>
        <v>240629</v>
      </c>
      <c r="E6" s="362">
        <f>13111+SUM(E7:E34)</f>
        <v>237671</v>
      </c>
      <c r="F6" s="362">
        <f>SUM(F7:F34)</f>
        <v>229436</v>
      </c>
      <c r="G6" s="362">
        <f aca="true" t="shared" si="0" ref="G6:R6">SUM(G7:G34)</f>
        <v>220627</v>
      </c>
      <c r="H6" s="362">
        <f t="shared" si="0"/>
        <v>218237</v>
      </c>
      <c r="I6" s="362">
        <f t="shared" si="0"/>
        <v>216993</v>
      </c>
      <c r="J6" s="362">
        <f t="shared" si="0"/>
        <v>215934</v>
      </c>
      <c r="K6" s="362">
        <f t="shared" si="0"/>
        <v>222708</v>
      </c>
      <c r="L6" s="362">
        <f t="shared" si="0"/>
        <v>219442</v>
      </c>
      <c r="M6" s="362">
        <f t="shared" si="0"/>
        <v>219860</v>
      </c>
      <c r="N6" s="362">
        <f t="shared" si="0"/>
        <v>220745</v>
      </c>
      <c r="O6" s="362">
        <f t="shared" si="0"/>
        <v>217860</v>
      </c>
      <c r="P6" s="363">
        <f t="shared" si="0"/>
        <v>216708</v>
      </c>
      <c r="Q6" s="363">
        <f t="shared" si="0"/>
        <v>216794</v>
      </c>
      <c r="R6" s="364">
        <f t="shared" si="0"/>
        <v>220915</v>
      </c>
      <c r="S6" s="363">
        <f aca="true" t="shared" si="1" ref="S6:Y6">SUM(S7:S34)</f>
        <v>221093</v>
      </c>
      <c r="T6" s="363">
        <f t="shared" si="1"/>
        <v>220616</v>
      </c>
      <c r="U6" s="363">
        <f t="shared" si="1"/>
        <v>220022</v>
      </c>
      <c r="V6" s="363">
        <f t="shared" si="1"/>
        <v>220587</v>
      </c>
      <c r="W6" s="363">
        <f t="shared" si="1"/>
        <v>220292</v>
      </c>
      <c r="X6" s="364">
        <f t="shared" si="1"/>
        <v>219669</v>
      </c>
      <c r="Y6" s="363">
        <f t="shared" si="1"/>
        <v>218487</v>
      </c>
      <c r="Z6" s="363">
        <f>SUM(Z7:Z34)</f>
        <v>217605</v>
      </c>
      <c r="AA6" s="363">
        <f>SUM(AA7:AA34)</f>
        <v>217081</v>
      </c>
      <c r="AB6" s="361">
        <f>SUM(AB7:AB34)</f>
        <v>110907</v>
      </c>
      <c r="AC6" s="362">
        <f>SUM(AC7:AC34)</f>
        <v>111720</v>
      </c>
      <c r="AD6" s="362">
        <f>SUM(AD7:AD34)</f>
        <v>112124</v>
      </c>
      <c r="AE6" s="362">
        <f aca="true" t="shared" si="2" ref="AE6:AK6">SUM(AE7:AE34)</f>
        <v>113047</v>
      </c>
      <c r="AF6" s="365">
        <f t="shared" si="2"/>
        <v>114496</v>
      </c>
      <c r="AG6" s="365">
        <f t="shared" si="2"/>
        <v>115049</v>
      </c>
      <c r="AH6" s="366">
        <f t="shared" si="2"/>
        <v>115217.56</v>
      </c>
      <c r="AI6" s="362">
        <f t="shared" si="2"/>
        <v>115342.04000000001</v>
      </c>
      <c r="AJ6" s="365">
        <f t="shared" si="2"/>
        <v>116085.26000000001</v>
      </c>
      <c r="AK6" s="362">
        <f t="shared" si="2"/>
        <v>116593</v>
      </c>
      <c r="AL6" s="367">
        <f>AK6/AA6*100</f>
        <v>53.70944486159544</v>
      </c>
      <c r="AM6" s="368" t="s">
        <v>124</v>
      </c>
    </row>
    <row r="7" spans="2:39" ht="12.75" customHeight="1">
      <c r="B7" s="9" t="s">
        <v>45</v>
      </c>
      <c r="C7" s="300">
        <v>4605</v>
      </c>
      <c r="D7" s="287">
        <v>3971</v>
      </c>
      <c r="E7" s="287">
        <v>3479</v>
      </c>
      <c r="F7" s="287">
        <v>3368</v>
      </c>
      <c r="G7" s="287">
        <v>3380</v>
      </c>
      <c r="H7" s="287">
        <v>3422</v>
      </c>
      <c r="I7" s="287">
        <v>3470</v>
      </c>
      <c r="J7" s="287">
        <v>3472</v>
      </c>
      <c r="K7" s="287">
        <v>3471</v>
      </c>
      <c r="L7" s="287">
        <v>3454</v>
      </c>
      <c r="M7" s="287">
        <v>3518</v>
      </c>
      <c r="N7" s="287">
        <v>3521</v>
      </c>
      <c r="O7" s="287">
        <v>3536</v>
      </c>
      <c r="P7" s="282">
        <v>3544</v>
      </c>
      <c r="Q7" s="287">
        <v>3500</v>
      </c>
      <c r="R7" s="282">
        <v>3374</v>
      </c>
      <c r="S7" s="282">
        <v>3513</v>
      </c>
      <c r="T7" s="282">
        <v>3578</v>
      </c>
      <c r="U7" s="282">
        <v>3582</v>
      </c>
      <c r="V7" s="282">
        <v>3582</v>
      </c>
      <c r="W7" s="282">
        <v>3582</v>
      </c>
      <c r="X7" s="282">
        <v>3595</v>
      </c>
      <c r="Y7" s="282">
        <v>3631</v>
      </c>
      <c r="Z7" s="282">
        <v>3607</v>
      </c>
      <c r="AA7" s="282">
        <v>3607</v>
      </c>
      <c r="AB7" s="296">
        <v>3002</v>
      </c>
      <c r="AC7" s="297">
        <v>2955</v>
      </c>
      <c r="AD7" s="297">
        <v>3005</v>
      </c>
      <c r="AE7" s="297">
        <v>3064</v>
      </c>
      <c r="AF7" s="298">
        <v>3064</v>
      </c>
      <c r="AG7" s="298">
        <v>3064</v>
      </c>
      <c r="AH7" s="298">
        <v>3064</v>
      </c>
      <c r="AI7" s="297">
        <f>Y7*85/100</f>
        <v>3086.35</v>
      </c>
      <c r="AJ7" s="298">
        <v>3086</v>
      </c>
      <c r="AK7" s="297">
        <v>3102</v>
      </c>
      <c r="AL7" s="211">
        <f aca="true" t="shared" si="3" ref="AL7:AL42">AK7/AA7*100</f>
        <v>85.99944552259495</v>
      </c>
      <c r="AM7" s="10" t="s">
        <v>45</v>
      </c>
    </row>
    <row r="8" spans="2:39" ht="12.75" customHeight="1">
      <c r="B8" s="52" t="s">
        <v>28</v>
      </c>
      <c r="C8" s="299">
        <v>4196</v>
      </c>
      <c r="D8" s="279">
        <v>4341</v>
      </c>
      <c r="E8" s="279">
        <v>4299</v>
      </c>
      <c r="F8" s="279">
        <v>4294</v>
      </c>
      <c r="G8" s="279">
        <v>4293</v>
      </c>
      <c r="H8" s="279">
        <v>4292</v>
      </c>
      <c r="I8" s="279">
        <v>4090</v>
      </c>
      <c r="J8" s="279">
        <v>4090</v>
      </c>
      <c r="K8" s="279">
        <v>4320</v>
      </c>
      <c r="L8" s="279">
        <v>4320</v>
      </c>
      <c r="M8" s="279">
        <v>4318</v>
      </c>
      <c r="N8" s="223">
        <v>4316</v>
      </c>
      <c r="O8" s="223">
        <v>4259</v>
      </c>
      <c r="P8" s="223">
        <v>4154</v>
      </c>
      <c r="Q8" s="223">
        <v>4146</v>
      </c>
      <c r="R8" s="223">
        <v>4143</v>
      </c>
      <c r="S8" s="223">
        <v>4144</v>
      </c>
      <c r="T8" s="223">
        <v>4150</v>
      </c>
      <c r="U8" s="223">
        <v>4097</v>
      </c>
      <c r="V8" s="223">
        <v>4072</v>
      </c>
      <c r="W8" s="223">
        <v>4070</v>
      </c>
      <c r="X8" s="223">
        <v>4032</v>
      </c>
      <c r="Y8" s="223">
        <v>4023</v>
      </c>
      <c r="Z8" s="223">
        <v>4019</v>
      </c>
      <c r="AA8" s="223">
        <v>4029</v>
      </c>
      <c r="AB8" s="299">
        <v>2806</v>
      </c>
      <c r="AC8" s="279">
        <v>2827</v>
      </c>
      <c r="AD8" s="279">
        <v>2833</v>
      </c>
      <c r="AE8" s="279">
        <v>2785</v>
      </c>
      <c r="AF8" s="279">
        <v>2862</v>
      </c>
      <c r="AG8" s="279">
        <v>2862</v>
      </c>
      <c r="AH8" s="279">
        <v>2869</v>
      </c>
      <c r="AI8" s="279">
        <v>2861</v>
      </c>
      <c r="AJ8" s="279">
        <v>2859</v>
      </c>
      <c r="AK8" s="279">
        <v>2868</v>
      </c>
      <c r="AL8" s="212">
        <f t="shared" si="3"/>
        <v>71.18391660461653</v>
      </c>
      <c r="AM8" s="52" t="s">
        <v>28</v>
      </c>
    </row>
    <row r="9" spans="1:39" ht="12.75" customHeight="1">
      <c r="A9" s="8"/>
      <c r="B9" s="10" t="s">
        <v>30</v>
      </c>
      <c r="C9" s="300"/>
      <c r="D9" s="287"/>
      <c r="E9" s="287"/>
      <c r="F9" s="287">
        <v>9430</v>
      </c>
      <c r="G9" s="287">
        <v>9430</v>
      </c>
      <c r="H9" s="287">
        <v>9430</v>
      </c>
      <c r="I9" s="287">
        <v>9430</v>
      </c>
      <c r="J9" s="287">
        <v>9444</v>
      </c>
      <c r="K9" s="287">
        <v>9444</v>
      </c>
      <c r="L9" s="287">
        <v>9523</v>
      </c>
      <c r="M9" s="287">
        <v>9600</v>
      </c>
      <c r="N9" s="287">
        <v>9602</v>
      </c>
      <c r="O9" s="287">
        <v>9612</v>
      </c>
      <c r="P9" s="282">
        <v>9614</v>
      </c>
      <c r="Q9" s="287">
        <v>9597</v>
      </c>
      <c r="R9" s="282">
        <v>9588</v>
      </c>
      <c r="S9" s="282">
        <v>9486</v>
      </c>
      <c r="T9" s="282">
        <v>9477</v>
      </c>
      <c r="U9" s="282">
        <v>9468</v>
      </c>
      <c r="V9" s="282">
        <v>9470</v>
      </c>
      <c r="W9" s="282">
        <v>9469</v>
      </c>
      <c r="X9" s="282">
        <v>9459</v>
      </c>
      <c r="Y9" s="282">
        <v>9456</v>
      </c>
      <c r="Z9" s="282">
        <v>9466</v>
      </c>
      <c r="AA9" s="282">
        <v>9463</v>
      </c>
      <c r="AB9" s="296">
        <v>3060</v>
      </c>
      <c r="AC9" s="297">
        <v>3078</v>
      </c>
      <c r="AD9" s="297">
        <v>3152</v>
      </c>
      <c r="AE9" s="297">
        <v>3210</v>
      </c>
      <c r="AF9" s="297">
        <v>3208</v>
      </c>
      <c r="AG9" s="297">
        <v>3217</v>
      </c>
      <c r="AH9" s="297">
        <v>3216</v>
      </c>
      <c r="AI9" s="297">
        <v>3215</v>
      </c>
      <c r="AJ9" s="297">
        <v>3217</v>
      </c>
      <c r="AK9" s="297">
        <v>3217</v>
      </c>
      <c r="AL9" s="211">
        <f t="shared" si="3"/>
        <v>33.99556166120681</v>
      </c>
      <c r="AM9" s="10" t="s">
        <v>30</v>
      </c>
    </row>
    <row r="10" spans="1:39" ht="12.75" customHeight="1">
      <c r="A10" s="8"/>
      <c r="B10" s="52" t="s">
        <v>41</v>
      </c>
      <c r="C10" s="299">
        <v>2352</v>
      </c>
      <c r="D10" s="279">
        <v>2015</v>
      </c>
      <c r="E10" s="279">
        <v>2838</v>
      </c>
      <c r="F10" s="279">
        <v>2863</v>
      </c>
      <c r="G10" s="279">
        <v>2863</v>
      </c>
      <c r="H10" s="279">
        <v>2762</v>
      </c>
      <c r="I10" s="279">
        <v>2779</v>
      </c>
      <c r="J10" s="279">
        <v>2775</v>
      </c>
      <c r="K10" s="279">
        <v>2787</v>
      </c>
      <c r="L10" s="279">
        <v>2787</v>
      </c>
      <c r="M10" s="279">
        <v>2787</v>
      </c>
      <c r="N10" s="279">
        <v>2787</v>
      </c>
      <c r="O10" s="279">
        <v>2646</v>
      </c>
      <c r="P10" s="223">
        <v>2646</v>
      </c>
      <c r="Q10" s="223">
        <v>2646</v>
      </c>
      <c r="R10" s="223">
        <v>2606</v>
      </c>
      <c r="S10" s="223">
        <v>2606</v>
      </c>
      <c r="T10" s="223">
        <v>2606</v>
      </c>
      <c r="U10" s="223">
        <v>2606</v>
      </c>
      <c r="V10" s="223">
        <v>2615</v>
      </c>
      <c r="W10" s="223">
        <v>2615</v>
      </c>
      <c r="X10" s="223">
        <v>2615</v>
      </c>
      <c r="Y10" s="223">
        <f>2633-21</f>
        <v>2612</v>
      </c>
      <c r="Z10" s="223">
        <f>2573-21</f>
        <v>2552</v>
      </c>
      <c r="AA10" s="223">
        <f>2560-21</f>
        <v>2539</v>
      </c>
      <c r="AB10" s="299">
        <v>619</v>
      </c>
      <c r="AC10" s="279">
        <v>621</v>
      </c>
      <c r="AD10" s="279">
        <v>621</v>
      </c>
      <c r="AE10" s="279">
        <f>642-21</f>
        <v>621</v>
      </c>
      <c r="AF10" s="279">
        <v>621</v>
      </c>
      <c r="AG10" s="279">
        <f>642-21</f>
        <v>621</v>
      </c>
      <c r="AH10" s="279">
        <v>621</v>
      </c>
      <c r="AI10" s="279">
        <v>621</v>
      </c>
      <c r="AJ10" s="279">
        <v>621</v>
      </c>
      <c r="AK10" s="279">
        <v>621</v>
      </c>
      <c r="AL10" s="212">
        <f t="shared" si="3"/>
        <v>24.45844820795589</v>
      </c>
      <c r="AM10" s="52" t="s">
        <v>41</v>
      </c>
    </row>
    <row r="11" spans="1:39" ht="12.75" customHeight="1">
      <c r="A11" s="8"/>
      <c r="B11" s="10" t="s">
        <v>46</v>
      </c>
      <c r="C11" s="300">
        <v>43777</v>
      </c>
      <c r="D11" s="287">
        <v>42765</v>
      </c>
      <c r="E11" s="287">
        <v>40981</v>
      </c>
      <c r="F11" s="287">
        <v>41718</v>
      </c>
      <c r="G11" s="287">
        <v>40826</v>
      </c>
      <c r="H11" s="287">
        <v>38450</v>
      </c>
      <c r="I11" s="287">
        <v>38126</v>
      </c>
      <c r="J11" s="287">
        <v>37525</v>
      </c>
      <c r="K11" s="287">
        <v>36588</v>
      </c>
      <c r="L11" s="287">
        <v>35986</v>
      </c>
      <c r="M11" s="287">
        <v>35814</v>
      </c>
      <c r="N11" s="287">
        <v>36054</v>
      </c>
      <c r="O11" s="287">
        <v>34732</v>
      </c>
      <c r="P11" s="282">
        <v>34221</v>
      </c>
      <c r="Q11" s="287">
        <v>34122</v>
      </c>
      <c r="R11" s="346">
        <v>38005</v>
      </c>
      <c r="S11" s="282">
        <v>37798</v>
      </c>
      <c r="T11" s="282">
        <v>37934</v>
      </c>
      <c r="U11" s="282">
        <v>37679</v>
      </c>
      <c r="V11" s="282">
        <v>37846</v>
      </c>
      <c r="W11" s="282">
        <v>37941</v>
      </c>
      <c r="X11" s="346">
        <v>38703</v>
      </c>
      <c r="Y11" s="282">
        <v>38836</v>
      </c>
      <c r="Z11" s="282">
        <v>38828</v>
      </c>
      <c r="AA11" s="282">
        <v>38990</v>
      </c>
      <c r="AB11" s="296">
        <v>19544</v>
      </c>
      <c r="AC11" s="297">
        <v>19645</v>
      </c>
      <c r="AD11" s="297">
        <v>19701</v>
      </c>
      <c r="AE11" s="297">
        <v>19819</v>
      </c>
      <c r="AF11" s="297">
        <v>19826</v>
      </c>
      <c r="AG11" s="297">
        <v>19830</v>
      </c>
      <c r="AH11" s="347">
        <f>X11*52/100</f>
        <v>20125.56</v>
      </c>
      <c r="AI11" s="297">
        <f>Y11*52/100</f>
        <v>20194.72</v>
      </c>
      <c r="AJ11" s="297">
        <f>Z11*52.4/100</f>
        <v>20345.872</v>
      </c>
      <c r="AK11" s="297">
        <v>20585</v>
      </c>
      <c r="AL11" s="211">
        <f t="shared" si="3"/>
        <v>52.79558861246474</v>
      </c>
      <c r="AM11" s="10" t="s">
        <v>46</v>
      </c>
    </row>
    <row r="12" spans="1:39" ht="12.75" customHeight="1">
      <c r="A12" s="8"/>
      <c r="B12" s="52" t="s">
        <v>31</v>
      </c>
      <c r="C12" s="299">
        <v>1227</v>
      </c>
      <c r="D12" s="279">
        <v>993</v>
      </c>
      <c r="E12" s="279">
        <v>1026</v>
      </c>
      <c r="F12" s="279">
        <v>1021</v>
      </c>
      <c r="G12" s="279">
        <v>1021</v>
      </c>
      <c r="H12" s="279">
        <v>966</v>
      </c>
      <c r="I12" s="279">
        <v>966</v>
      </c>
      <c r="J12" s="279">
        <v>968</v>
      </c>
      <c r="K12" s="279">
        <v>968</v>
      </c>
      <c r="L12" s="279">
        <v>967</v>
      </c>
      <c r="M12" s="279">
        <v>963</v>
      </c>
      <c r="N12" s="279">
        <v>967</v>
      </c>
      <c r="O12" s="279">
        <v>971</v>
      </c>
      <c r="P12" s="223">
        <v>968</v>
      </c>
      <c r="Q12" s="279">
        <v>968</v>
      </c>
      <c r="R12" s="223">
        <v>816</v>
      </c>
      <c r="S12" s="223">
        <v>919</v>
      </c>
      <c r="T12" s="223">
        <v>919</v>
      </c>
      <c r="U12" s="223">
        <v>919</v>
      </c>
      <c r="V12" s="223">
        <v>918</v>
      </c>
      <c r="W12" s="223">
        <v>918</v>
      </c>
      <c r="X12" s="223">
        <v>918</v>
      </c>
      <c r="Y12" s="223">
        <v>918</v>
      </c>
      <c r="Z12" s="223">
        <v>918</v>
      </c>
      <c r="AA12" s="223">
        <v>918</v>
      </c>
      <c r="AB12" s="299">
        <v>131</v>
      </c>
      <c r="AC12" s="279">
        <v>131</v>
      </c>
      <c r="AD12" s="279">
        <v>132</v>
      </c>
      <c r="AE12" s="279">
        <v>132</v>
      </c>
      <c r="AF12" s="279">
        <v>132</v>
      </c>
      <c r="AG12" s="279">
        <v>132</v>
      </c>
      <c r="AH12" s="279">
        <v>132</v>
      </c>
      <c r="AI12" s="279">
        <v>132</v>
      </c>
      <c r="AJ12" s="279">
        <v>132</v>
      </c>
      <c r="AK12" s="279">
        <v>132</v>
      </c>
      <c r="AL12" s="213">
        <f t="shared" si="3"/>
        <v>14.37908496732026</v>
      </c>
      <c r="AM12" s="52" t="s">
        <v>31</v>
      </c>
    </row>
    <row r="13" spans="1:39" ht="12.75" customHeight="1">
      <c r="A13" s="8"/>
      <c r="B13" s="10" t="s">
        <v>49</v>
      </c>
      <c r="C13" s="300">
        <v>2189</v>
      </c>
      <c r="D13" s="287">
        <v>1987</v>
      </c>
      <c r="E13" s="287">
        <v>1944</v>
      </c>
      <c r="F13" s="287">
        <v>1954</v>
      </c>
      <c r="G13" s="287">
        <v>1954</v>
      </c>
      <c r="H13" s="287">
        <v>1945</v>
      </c>
      <c r="I13" s="287">
        <v>1909</v>
      </c>
      <c r="J13" s="287">
        <v>1909</v>
      </c>
      <c r="K13" s="287">
        <v>1919</v>
      </c>
      <c r="L13" s="287">
        <v>1919</v>
      </c>
      <c r="M13" s="287">
        <v>1919</v>
      </c>
      <c r="N13" s="287">
        <v>1919</v>
      </c>
      <c r="O13" s="287">
        <v>1919</v>
      </c>
      <c r="P13" s="282">
        <v>1919</v>
      </c>
      <c r="Q13" s="287">
        <v>1919</v>
      </c>
      <c r="R13" s="346">
        <v>1894</v>
      </c>
      <c r="S13" s="282">
        <v>1894</v>
      </c>
      <c r="T13" s="282">
        <v>1894</v>
      </c>
      <c r="U13" s="282">
        <v>1894</v>
      </c>
      <c r="V13" s="282">
        <v>1894</v>
      </c>
      <c r="W13" s="282">
        <v>1894</v>
      </c>
      <c r="X13" s="282">
        <v>1894</v>
      </c>
      <c r="Y13" s="282">
        <v>1894</v>
      </c>
      <c r="Z13" s="282">
        <v>1894</v>
      </c>
      <c r="AA13" s="282">
        <v>1894</v>
      </c>
      <c r="AB13" s="296">
        <v>52</v>
      </c>
      <c r="AC13" s="297">
        <v>52</v>
      </c>
      <c r="AD13" s="297">
        <v>52</v>
      </c>
      <c r="AE13" s="297">
        <v>52</v>
      </c>
      <c r="AF13" s="297">
        <v>52</v>
      </c>
      <c r="AG13" s="297">
        <v>52</v>
      </c>
      <c r="AH13" s="297">
        <v>52</v>
      </c>
      <c r="AI13" s="297">
        <v>52</v>
      </c>
      <c r="AJ13" s="298">
        <v>52</v>
      </c>
      <c r="AK13" s="298">
        <v>52</v>
      </c>
      <c r="AL13" s="211">
        <f t="shared" si="3"/>
        <v>2.7455121436114043</v>
      </c>
      <c r="AM13" s="10" t="s">
        <v>49</v>
      </c>
    </row>
    <row r="14" spans="1:39" ht="12.75" customHeight="1">
      <c r="A14" s="8"/>
      <c r="B14" s="52" t="s">
        <v>42</v>
      </c>
      <c r="C14" s="299">
        <v>2602</v>
      </c>
      <c r="D14" s="279">
        <v>2461</v>
      </c>
      <c r="E14" s="279">
        <v>2484</v>
      </c>
      <c r="F14" s="279">
        <v>2474</v>
      </c>
      <c r="G14" s="279">
        <v>2474</v>
      </c>
      <c r="H14" s="279">
        <v>2503</v>
      </c>
      <c r="I14" s="279">
        <v>2299</v>
      </c>
      <c r="J14" s="279">
        <v>2299</v>
      </c>
      <c r="K14" s="279">
        <v>2385</v>
      </c>
      <c r="L14" s="279">
        <v>2377</v>
      </c>
      <c r="M14" s="279">
        <v>2383</v>
      </c>
      <c r="N14" s="279">
        <v>2414</v>
      </c>
      <c r="O14" s="279">
        <v>2449</v>
      </c>
      <c r="P14" s="223">
        <v>2576</v>
      </c>
      <c r="Q14" s="279">
        <v>2509</v>
      </c>
      <c r="R14" s="223">
        <v>2551</v>
      </c>
      <c r="S14" s="223">
        <v>2552</v>
      </c>
      <c r="T14" s="223">
        <v>2552</v>
      </c>
      <c r="U14" s="223">
        <v>2552</v>
      </c>
      <c r="V14" s="223">
        <v>2554</v>
      </c>
      <c r="W14" s="223">
        <v>2554</v>
      </c>
      <c r="X14" s="223">
        <v>2265</v>
      </c>
      <c r="Y14" s="223">
        <v>2238</v>
      </c>
      <c r="Z14" s="223">
        <v>2239</v>
      </c>
      <c r="AA14" s="223">
        <v>2240</v>
      </c>
      <c r="AB14" s="299">
        <v>199</v>
      </c>
      <c r="AC14" s="279">
        <v>264</v>
      </c>
      <c r="AD14" s="279">
        <v>264</v>
      </c>
      <c r="AE14" s="279">
        <v>368</v>
      </c>
      <c r="AF14" s="279">
        <v>438</v>
      </c>
      <c r="AG14" s="279">
        <v>438</v>
      </c>
      <c r="AH14" s="279">
        <v>437</v>
      </c>
      <c r="AI14" s="279">
        <v>494</v>
      </c>
      <c r="AJ14" s="279">
        <v>525</v>
      </c>
      <c r="AK14" s="279">
        <v>520</v>
      </c>
      <c r="AL14" s="213">
        <f t="shared" si="3"/>
        <v>23.214285714285715</v>
      </c>
      <c r="AM14" s="52" t="s">
        <v>42</v>
      </c>
    </row>
    <row r="15" spans="1:39" ht="12.75" customHeight="1">
      <c r="A15" s="8"/>
      <c r="B15" s="10" t="s">
        <v>47</v>
      </c>
      <c r="C15" s="300">
        <v>15850</v>
      </c>
      <c r="D15" s="287">
        <v>15724</v>
      </c>
      <c r="E15" s="301">
        <v>14539</v>
      </c>
      <c r="F15" s="287">
        <f>6717+7591</f>
        <v>14308</v>
      </c>
      <c r="G15" s="287">
        <f>6717+7564</f>
        <v>14281</v>
      </c>
      <c r="H15" s="287">
        <f>6654+7654</f>
        <v>14308</v>
      </c>
      <c r="I15" s="287">
        <f>6575+7714</f>
        <v>14289</v>
      </c>
      <c r="J15" s="287">
        <f>6571+7790</f>
        <v>14361</v>
      </c>
      <c r="K15" s="287">
        <f>6559+7788</f>
        <v>14347</v>
      </c>
      <c r="L15" s="287">
        <f>6559+7788</f>
        <v>14347</v>
      </c>
      <c r="M15" s="287">
        <f>6499+7927</f>
        <v>14426</v>
      </c>
      <c r="N15" s="287">
        <f>6432+8477</f>
        <v>14909</v>
      </c>
      <c r="O15" s="287">
        <f>6447+8338</f>
        <v>14785</v>
      </c>
      <c r="P15" s="282">
        <f>6537+8478</f>
        <v>15015</v>
      </c>
      <c r="Q15" s="287">
        <f>6486+8726</f>
        <v>15212</v>
      </c>
      <c r="R15" s="282">
        <f>6455+9099</f>
        <v>15554</v>
      </c>
      <c r="S15" s="282">
        <f>6434+9116</f>
        <v>15550</v>
      </c>
      <c r="T15" s="282">
        <f>6394+8936</f>
        <v>15330</v>
      </c>
      <c r="U15" s="282">
        <f>6398+9439</f>
        <v>15837</v>
      </c>
      <c r="V15" s="282">
        <f>15932</f>
        <v>15932</v>
      </c>
      <c r="W15" s="282">
        <f>6268+9654</f>
        <v>15922</v>
      </c>
      <c r="X15" s="282">
        <f>9768+6169</f>
        <v>15937</v>
      </c>
      <c r="Y15" s="282">
        <f>9717+6184</f>
        <v>15901</v>
      </c>
      <c r="Z15" s="282">
        <f>10211+5845</f>
        <v>16056</v>
      </c>
      <c r="AA15" s="282">
        <f>10138+5784</f>
        <v>15922</v>
      </c>
      <c r="AB15" s="296">
        <f>9099</f>
        <v>9099</v>
      </c>
      <c r="AC15" s="297">
        <v>9116</v>
      </c>
      <c r="AD15" s="297">
        <v>8936</v>
      </c>
      <c r="AE15" s="297">
        <v>9439</v>
      </c>
      <c r="AF15" s="297">
        <v>9615</v>
      </c>
      <c r="AG15" s="297">
        <v>9654</v>
      </c>
      <c r="AH15" s="297">
        <v>9768</v>
      </c>
      <c r="AI15" s="297">
        <v>9717</v>
      </c>
      <c r="AJ15" s="297">
        <v>10211</v>
      </c>
      <c r="AK15" s="297">
        <v>10138</v>
      </c>
      <c r="AL15" s="211">
        <f t="shared" si="3"/>
        <v>63.67290541389272</v>
      </c>
      <c r="AM15" s="10" t="s">
        <v>47</v>
      </c>
    </row>
    <row r="16" spans="1:39" ht="12.75" customHeight="1">
      <c r="A16" s="8"/>
      <c r="B16" s="52" t="s">
        <v>48</v>
      </c>
      <c r="C16" s="299">
        <v>37582</v>
      </c>
      <c r="D16" s="279">
        <v>34362</v>
      </c>
      <c r="E16" s="279">
        <v>34070</v>
      </c>
      <c r="F16" s="279">
        <v>31940</v>
      </c>
      <c r="G16" s="279">
        <v>31852</v>
      </c>
      <c r="H16" s="279">
        <v>31821</v>
      </c>
      <c r="I16" s="279">
        <v>31770</v>
      </c>
      <c r="J16" s="279">
        <v>31735</v>
      </c>
      <c r="K16" s="279">
        <v>31397</v>
      </c>
      <c r="L16" s="279">
        <v>31385</v>
      </c>
      <c r="M16" s="279">
        <v>31320</v>
      </c>
      <c r="N16" s="279">
        <v>30990</v>
      </c>
      <c r="O16" s="279">
        <v>30880</v>
      </c>
      <c r="P16" s="223">
        <v>30871</v>
      </c>
      <c r="Q16" s="279">
        <v>30883</v>
      </c>
      <c r="R16" s="223">
        <v>31154</v>
      </c>
      <c r="S16" s="223">
        <v>31041</v>
      </c>
      <c r="T16" s="223">
        <v>30939</v>
      </c>
      <c r="U16" s="223">
        <v>30335</v>
      </c>
      <c r="V16" s="223">
        <v>30404</v>
      </c>
      <c r="W16" s="223">
        <v>30581</v>
      </c>
      <c r="X16" s="223">
        <v>30318</v>
      </c>
      <c r="Y16" s="223">
        <v>29335</v>
      </c>
      <c r="Z16" s="223">
        <v>28808</v>
      </c>
      <c r="AA16" s="223">
        <v>28364</v>
      </c>
      <c r="AB16" s="299">
        <v>15132</v>
      </c>
      <c r="AC16" s="279">
        <v>15343</v>
      </c>
      <c r="AD16" s="279">
        <v>15430</v>
      </c>
      <c r="AE16" s="279">
        <v>15453</v>
      </c>
      <c r="AF16" s="279">
        <v>15815</v>
      </c>
      <c r="AG16" s="279">
        <v>16116</v>
      </c>
      <c r="AH16" s="279">
        <v>15858</v>
      </c>
      <c r="AI16" s="279">
        <v>16031</v>
      </c>
      <c r="AJ16" s="279">
        <v>15987</v>
      </c>
      <c r="AK16" s="279">
        <v>16097</v>
      </c>
      <c r="AL16" s="213">
        <f t="shared" si="3"/>
        <v>56.75151600620505</v>
      </c>
      <c r="AM16" s="52" t="s">
        <v>48</v>
      </c>
    </row>
    <row r="17" spans="1:39" ht="12.75" customHeight="1">
      <c r="A17" s="8"/>
      <c r="B17" s="10" t="s">
        <v>60</v>
      </c>
      <c r="C17" s="300">
        <v>2411</v>
      </c>
      <c r="D17" s="287">
        <v>2437</v>
      </c>
      <c r="E17" s="287">
        <v>2429</v>
      </c>
      <c r="F17" s="287">
        <v>2296</v>
      </c>
      <c r="G17" s="287">
        <v>2726</v>
      </c>
      <c r="H17" s="287">
        <v>2726</v>
      </c>
      <c r="I17" s="287">
        <v>2726</v>
      </c>
      <c r="J17" s="287">
        <v>2726</v>
      </c>
      <c r="K17" s="287">
        <v>2726</v>
      </c>
      <c r="L17" s="287">
        <v>2726</v>
      </c>
      <c r="M17" s="287">
        <v>2726</v>
      </c>
      <c r="N17" s="287">
        <v>2726</v>
      </c>
      <c r="O17" s="287">
        <v>2726</v>
      </c>
      <c r="P17" s="282">
        <v>2726</v>
      </c>
      <c r="Q17" s="287">
        <v>2722</v>
      </c>
      <c r="R17" s="282">
        <v>2722</v>
      </c>
      <c r="S17" s="282">
        <v>2722</v>
      </c>
      <c r="T17" s="282">
        <v>2722</v>
      </c>
      <c r="U17" s="282">
        <v>2722</v>
      </c>
      <c r="V17" s="282">
        <v>2722</v>
      </c>
      <c r="W17" s="282">
        <v>2722</v>
      </c>
      <c r="X17" s="282">
        <v>2722</v>
      </c>
      <c r="Y17" s="282">
        <v>2604</v>
      </c>
      <c r="Z17" s="282">
        <v>2604</v>
      </c>
      <c r="AA17" s="282">
        <v>2605</v>
      </c>
      <c r="AB17" s="300">
        <v>980</v>
      </c>
      <c r="AC17" s="287">
        <v>985</v>
      </c>
      <c r="AD17" s="287">
        <v>984</v>
      </c>
      <c r="AE17" s="287">
        <v>984</v>
      </c>
      <c r="AF17" s="287">
        <v>984</v>
      </c>
      <c r="AG17" s="287">
        <v>984</v>
      </c>
      <c r="AH17" s="287">
        <v>985</v>
      </c>
      <c r="AI17" s="287">
        <v>970</v>
      </c>
      <c r="AJ17" s="287">
        <v>970</v>
      </c>
      <c r="AK17" s="287">
        <v>970</v>
      </c>
      <c r="AL17" s="211">
        <f t="shared" si="3"/>
        <v>37.23608445297505</v>
      </c>
      <c r="AM17" s="10" t="s">
        <v>60</v>
      </c>
    </row>
    <row r="18" spans="1:39" ht="12.75" customHeight="1">
      <c r="A18" s="8"/>
      <c r="B18" s="52" t="s">
        <v>50</v>
      </c>
      <c r="C18" s="286">
        <v>16073</v>
      </c>
      <c r="D18" s="302">
        <v>16138</v>
      </c>
      <c r="E18" s="302">
        <v>16066</v>
      </c>
      <c r="F18" s="302">
        <v>16003</v>
      </c>
      <c r="G18" s="302">
        <v>16014</v>
      </c>
      <c r="H18" s="302">
        <v>16030</v>
      </c>
      <c r="I18" s="302">
        <v>16080</v>
      </c>
      <c r="J18" s="302">
        <v>16092</v>
      </c>
      <c r="K18" s="302">
        <v>16187</v>
      </c>
      <c r="L18" s="302">
        <v>16357</v>
      </c>
      <c r="M18" s="302">
        <v>16307</v>
      </c>
      <c r="N18" s="302">
        <v>16287</v>
      </c>
      <c r="O18" s="302">
        <v>16236</v>
      </c>
      <c r="P18" s="302">
        <f>320+16225</f>
        <v>16545</v>
      </c>
      <c r="Q18" s="302">
        <f>16295+332</f>
        <v>16627</v>
      </c>
      <c r="R18" s="302">
        <f>16335+332</f>
        <v>16667</v>
      </c>
      <c r="S18" s="302">
        <v>16861</v>
      </c>
      <c r="T18" s="302">
        <f>318+16686</f>
        <v>17004</v>
      </c>
      <c r="U18" s="302">
        <f>318+16704</f>
        <v>17022</v>
      </c>
      <c r="V18" s="302">
        <f>16727+318</f>
        <v>17045</v>
      </c>
      <c r="W18" s="302">
        <v>17060</v>
      </c>
      <c r="X18" s="302">
        <f>16752+318</f>
        <v>17070</v>
      </c>
      <c r="Y18" s="302">
        <f>16721+316</f>
        <v>17037</v>
      </c>
      <c r="Z18" s="302">
        <f>16723+318</f>
        <v>17041</v>
      </c>
      <c r="AA18" s="302">
        <f>16778+318</f>
        <v>17096</v>
      </c>
      <c r="AB18" s="286">
        <f>11531+200</f>
        <v>11731</v>
      </c>
      <c r="AC18" s="302">
        <v>11927</v>
      </c>
      <c r="AD18" s="302">
        <f>195+11887</f>
        <v>12082</v>
      </c>
      <c r="AE18" s="302">
        <f>11906+122</f>
        <v>12028</v>
      </c>
      <c r="AF18" s="302">
        <f>11925+195</f>
        <v>12120</v>
      </c>
      <c r="AG18" s="302">
        <f>11931+195</f>
        <v>12126</v>
      </c>
      <c r="AH18" s="302">
        <f>11969+195</f>
        <v>12164</v>
      </c>
      <c r="AI18" s="302">
        <f>11939+194</f>
        <v>12133</v>
      </c>
      <c r="AJ18" s="302">
        <f>11941+195</f>
        <v>12136</v>
      </c>
      <c r="AK18" s="302">
        <f>12023+195</f>
        <v>12218</v>
      </c>
      <c r="AL18" s="348">
        <f t="shared" si="3"/>
        <v>71.46700982686008</v>
      </c>
      <c r="AM18" s="52" t="s">
        <v>50</v>
      </c>
    </row>
    <row r="19" spans="1:39" ht="12.75" customHeight="1">
      <c r="A19" s="8"/>
      <c r="B19" s="10" t="s">
        <v>29</v>
      </c>
      <c r="C19" s="281" t="s">
        <v>59</v>
      </c>
      <c r="D19" s="282" t="s">
        <v>59</v>
      </c>
      <c r="E19" s="282" t="s">
        <v>59</v>
      </c>
      <c r="F19" s="282" t="s">
        <v>59</v>
      </c>
      <c r="G19" s="282" t="s">
        <v>59</v>
      </c>
      <c r="H19" s="282" t="s">
        <v>59</v>
      </c>
      <c r="I19" s="282" t="s">
        <v>59</v>
      </c>
      <c r="J19" s="282" t="s">
        <v>59</v>
      </c>
      <c r="K19" s="282" t="s">
        <v>59</v>
      </c>
      <c r="L19" s="282" t="s">
        <v>59</v>
      </c>
      <c r="M19" s="282" t="s">
        <v>59</v>
      </c>
      <c r="N19" s="282" t="s">
        <v>59</v>
      </c>
      <c r="O19" s="282" t="s">
        <v>59</v>
      </c>
      <c r="P19" s="282" t="s">
        <v>59</v>
      </c>
      <c r="Q19" s="282" t="s">
        <v>59</v>
      </c>
      <c r="R19" s="282" t="s">
        <v>59</v>
      </c>
      <c r="S19" s="282" t="s">
        <v>59</v>
      </c>
      <c r="T19" s="282" t="s">
        <v>59</v>
      </c>
      <c r="U19" s="282" t="s">
        <v>59</v>
      </c>
      <c r="V19" s="282" t="s">
        <v>59</v>
      </c>
      <c r="W19" s="282" t="s">
        <v>59</v>
      </c>
      <c r="X19" s="282" t="s">
        <v>59</v>
      </c>
      <c r="Y19" s="282" t="s">
        <v>59</v>
      </c>
      <c r="Z19" s="282" t="s">
        <v>59</v>
      </c>
      <c r="AA19" s="282" t="s">
        <v>59</v>
      </c>
      <c r="AB19" s="303" t="s">
        <v>59</v>
      </c>
      <c r="AC19" s="304" t="s">
        <v>59</v>
      </c>
      <c r="AD19" s="304" t="s">
        <v>59</v>
      </c>
      <c r="AE19" s="304" t="s">
        <v>59</v>
      </c>
      <c r="AF19" s="304" t="s">
        <v>59</v>
      </c>
      <c r="AG19" s="304" t="s">
        <v>59</v>
      </c>
      <c r="AH19" s="304" t="s">
        <v>59</v>
      </c>
      <c r="AI19" s="304" t="s">
        <v>59</v>
      </c>
      <c r="AJ19" s="304" t="s">
        <v>59</v>
      </c>
      <c r="AK19" s="304" t="s">
        <v>59</v>
      </c>
      <c r="AL19" s="292" t="s">
        <v>59</v>
      </c>
      <c r="AM19" s="10" t="s">
        <v>29</v>
      </c>
    </row>
    <row r="20" spans="1:39" ht="12.75" customHeight="1">
      <c r="A20" s="8"/>
      <c r="B20" s="52" t="s">
        <v>33</v>
      </c>
      <c r="C20" s="299">
        <v>2606</v>
      </c>
      <c r="D20" s="279">
        <v>2384</v>
      </c>
      <c r="E20" s="279">
        <v>2397</v>
      </c>
      <c r="F20" s="279">
        <v>2413</v>
      </c>
      <c r="G20" s="279">
        <v>2413</v>
      </c>
      <c r="H20" s="279">
        <v>2413</v>
      </c>
      <c r="I20" s="279">
        <v>2413</v>
      </c>
      <c r="J20" s="279">
        <v>2413</v>
      </c>
      <c r="K20" s="279">
        <v>2331</v>
      </c>
      <c r="L20" s="279">
        <v>2305</v>
      </c>
      <c r="M20" s="279">
        <v>2270</v>
      </c>
      <c r="N20" s="279">
        <v>2270</v>
      </c>
      <c r="O20" s="279">
        <v>2270</v>
      </c>
      <c r="P20" s="223">
        <v>2270</v>
      </c>
      <c r="Q20" s="279">
        <v>2269</v>
      </c>
      <c r="R20" s="223">
        <v>2265</v>
      </c>
      <c r="S20" s="223">
        <v>2263</v>
      </c>
      <c r="T20" s="223">
        <v>1884</v>
      </c>
      <c r="U20" s="223">
        <v>1897</v>
      </c>
      <c r="V20" s="223">
        <v>1865</v>
      </c>
      <c r="W20" s="223">
        <v>1860</v>
      </c>
      <c r="X20" s="223">
        <v>1859</v>
      </c>
      <c r="Y20" s="223">
        <v>1853</v>
      </c>
      <c r="Z20" s="223">
        <v>1859</v>
      </c>
      <c r="AA20" s="223">
        <v>1860</v>
      </c>
      <c r="AB20" s="299">
        <v>257</v>
      </c>
      <c r="AC20" s="279">
        <v>257</v>
      </c>
      <c r="AD20" s="279">
        <v>257</v>
      </c>
      <c r="AE20" s="279">
        <v>257</v>
      </c>
      <c r="AF20" s="279">
        <v>257</v>
      </c>
      <c r="AG20" s="279">
        <v>250</v>
      </c>
      <c r="AH20" s="279">
        <v>250</v>
      </c>
      <c r="AI20" s="279">
        <v>245</v>
      </c>
      <c r="AJ20" s="279">
        <v>250</v>
      </c>
      <c r="AK20" s="279">
        <v>251</v>
      </c>
      <c r="AL20" s="213">
        <f t="shared" si="3"/>
        <v>13.494623655913978</v>
      </c>
      <c r="AM20" s="52" t="s">
        <v>33</v>
      </c>
    </row>
    <row r="21" spans="1:39" ht="12.75" customHeight="1">
      <c r="A21" s="8"/>
      <c r="B21" s="10" t="s">
        <v>34</v>
      </c>
      <c r="C21" s="300">
        <v>2015</v>
      </c>
      <c r="D21" s="287">
        <v>2008</v>
      </c>
      <c r="E21" s="287">
        <v>2007</v>
      </c>
      <c r="F21" s="287">
        <v>2002</v>
      </c>
      <c r="G21" s="287">
        <v>1997</v>
      </c>
      <c r="H21" s="287">
        <v>1998</v>
      </c>
      <c r="I21" s="287">
        <v>1998</v>
      </c>
      <c r="J21" s="287">
        <v>1905</v>
      </c>
      <c r="K21" s="287">
        <v>1905</v>
      </c>
      <c r="L21" s="287">
        <v>1696</v>
      </c>
      <c r="M21" s="287">
        <v>1775</v>
      </c>
      <c r="N21" s="287">
        <v>1774</v>
      </c>
      <c r="O21" s="287">
        <v>1782</v>
      </c>
      <c r="P21" s="282">
        <f>1771</f>
        <v>1771</v>
      </c>
      <c r="Q21" s="287">
        <v>1771</v>
      </c>
      <c r="R21" s="282">
        <v>1766</v>
      </c>
      <c r="S21" s="282">
        <v>1765</v>
      </c>
      <c r="T21" s="282">
        <v>1767</v>
      </c>
      <c r="U21" s="282">
        <f>1767</f>
        <v>1767</v>
      </c>
      <c r="V21" s="282">
        <v>1767</v>
      </c>
      <c r="W21" s="282">
        <v>1767</v>
      </c>
      <c r="X21" s="282">
        <v>1767</v>
      </c>
      <c r="Y21" s="282">
        <v>1767</v>
      </c>
      <c r="Z21" s="282">
        <v>1877</v>
      </c>
      <c r="AA21" s="282">
        <v>1911</v>
      </c>
      <c r="AB21" s="296">
        <v>122</v>
      </c>
      <c r="AC21" s="297">
        <v>122</v>
      </c>
      <c r="AD21" s="297">
        <v>122</v>
      </c>
      <c r="AE21" s="297">
        <v>122</v>
      </c>
      <c r="AF21" s="297">
        <v>122</v>
      </c>
      <c r="AG21" s="297">
        <v>122</v>
      </c>
      <c r="AH21" s="297">
        <v>122</v>
      </c>
      <c r="AI21" s="297">
        <v>122</v>
      </c>
      <c r="AJ21" s="297">
        <v>122</v>
      </c>
      <c r="AK21" s="297">
        <v>122</v>
      </c>
      <c r="AL21" s="211">
        <f t="shared" si="3"/>
        <v>6.384092098377812</v>
      </c>
      <c r="AM21" s="10" t="s">
        <v>34</v>
      </c>
    </row>
    <row r="22" spans="1:39" ht="12.75" customHeight="1">
      <c r="A22" s="8"/>
      <c r="B22" s="52" t="s">
        <v>51</v>
      </c>
      <c r="C22" s="299">
        <v>271</v>
      </c>
      <c r="D22" s="279">
        <v>270</v>
      </c>
      <c r="E22" s="279">
        <v>271</v>
      </c>
      <c r="F22" s="279">
        <v>275</v>
      </c>
      <c r="G22" s="223">
        <v>274</v>
      </c>
      <c r="H22" s="223">
        <v>274</v>
      </c>
      <c r="I22" s="223">
        <v>274</v>
      </c>
      <c r="J22" s="223">
        <v>274</v>
      </c>
      <c r="K22" s="279">
        <v>274</v>
      </c>
      <c r="L22" s="223">
        <v>274</v>
      </c>
      <c r="M22" s="223">
        <v>274</v>
      </c>
      <c r="N22" s="223">
        <v>275</v>
      </c>
      <c r="O22" s="223">
        <v>275</v>
      </c>
      <c r="P22" s="223">
        <v>275</v>
      </c>
      <c r="Q22" s="279">
        <v>275</v>
      </c>
      <c r="R22" s="223">
        <v>275</v>
      </c>
      <c r="S22" s="223">
        <v>275</v>
      </c>
      <c r="T22" s="223">
        <v>275</v>
      </c>
      <c r="U22" s="223">
        <v>275</v>
      </c>
      <c r="V22" s="223">
        <v>275</v>
      </c>
      <c r="W22" s="223">
        <v>275</v>
      </c>
      <c r="X22" s="223">
        <v>275</v>
      </c>
      <c r="Y22" s="223">
        <v>275</v>
      </c>
      <c r="Z22" s="223">
        <v>275</v>
      </c>
      <c r="AA22" s="223">
        <v>275</v>
      </c>
      <c r="AB22" s="299">
        <v>262</v>
      </c>
      <c r="AC22" s="279">
        <v>262</v>
      </c>
      <c r="AD22" s="279">
        <v>262</v>
      </c>
      <c r="AE22" s="279">
        <v>262</v>
      </c>
      <c r="AF22" s="279">
        <v>262</v>
      </c>
      <c r="AG22" s="279">
        <v>262</v>
      </c>
      <c r="AH22" s="279">
        <v>262</v>
      </c>
      <c r="AI22" s="279">
        <v>262</v>
      </c>
      <c r="AJ22" s="279">
        <v>262</v>
      </c>
      <c r="AK22" s="279">
        <v>262</v>
      </c>
      <c r="AL22" s="213">
        <f t="shared" si="3"/>
        <v>95.27272727272728</v>
      </c>
      <c r="AM22" s="52" t="s">
        <v>51</v>
      </c>
    </row>
    <row r="23" spans="1:39" ht="12.75" customHeight="1">
      <c r="A23" s="8"/>
      <c r="B23" s="10" t="s">
        <v>32</v>
      </c>
      <c r="C23" s="285">
        <v>8487</v>
      </c>
      <c r="D23" s="305">
        <v>7836</v>
      </c>
      <c r="E23" s="305">
        <v>7838</v>
      </c>
      <c r="F23" s="305">
        <v>7714</v>
      </c>
      <c r="G23" s="305"/>
      <c r="H23" s="305"/>
      <c r="I23" s="305"/>
      <c r="J23" s="305"/>
      <c r="K23" s="305">
        <v>8005</v>
      </c>
      <c r="L23" s="305">
        <v>7736</v>
      </c>
      <c r="M23" s="305">
        <v>7949</v>
      </c>
      <c r="N23" s="305">
        <v>7950</v>
      </c>
      <c r="O23" s="305">
        <v>7950</v>
      </c>
      <c r="P23" s="305">
        <v>7950</v>
      </c>
      <c r="Q23" s="305">
        <f>7676+284</f>
        <v>7960</v>
      </c>
      <c r="R23" s="305">
        <f>7658+284</f>
        <v>7942</v>
      </c>
      <c r="S23" s="305">
        <v>7892</v>
      </c>
      <c r="T23" s="305">
        <f>284+7608</f>
        <v>7892</v>
      </c>
      <c r="U23" s="305">
        <f>7609+284</f>
        <v>7893</v>
      </c>
      <c r="V23" s="305">
        <f>7397+509</f>
        <v>7906</v>
      </c>
      <c r="W23" s="305">
        <f>7385+492</f>
        <v>7877</v>
      </c>
      <c r="X23" s="305">
        <f>7389+509</f>
        <v>7898</v>
      </c>
      <c r="Y23" s="305">
        <f>7384+508</f>
        <v>7892</v>
      </c>
      <c r="Z23" s="305">
        <f>7385+509</f>
        <v>7894</v>
      </c>
      <c r="AA23" s="305">
        <f>7243+506</f>
        <v>7749</v>
      </c>
      <c r="AB23" s="306">
        <f>2573+220</f>
        <v>2793</v>
      </c>
      <c r="AC23" s="307">
        <v>2848</v>
      </c>
      <c r="AD23" s="307">
        <f>220+2628</f>
        <v>2848</v>
      </c>
      <c r="AE23" s="307">
        <f>2727+220</f>
        <v>2947</v>
      </c>
      <c r="AF23" s="307">
        <f>2679+317</f>
        <v>2996</v>
      </c>
      <c r="AG23" s="307">
        <f>2697+317</f>
        <v>3014</v>
      </c>
      <c r="AH23" s="307">
        <f>313+2697</f>
        <v>3010</v>
      </c>
      <c r="AI23" s="307">
        <f>2696+316</f>
        <v>3012</v>
      </c>
      <c r="AJ23" s="307">
        <f>2701+378</f>
        <v>3079</v>
      </c>
      <c r="AK23" s="307">
        <f>2624+466</f>
        <v>3090</v>
      </c>
      <c r="AL23" s="349">
        <f t="shared" si="3"/>
        <v>39.87611304684475</v>
      </c>
      <c r="AM23" s="10" t="s">
        <v>32</v>
      </c>
    </row>
    <row r="24" spans="1:39" ht="12.75" customHeight="1">
      <c r="A24" s="8"/>
      <c r="B24" s="52" t="s">
        <v>35</v>
      </c>
      <c r="C24" s="278" t="s">
        <v>59</v>
      </c>
      <c r="D24" s="223" t="s">
        <v>59</v>
      </c>
      <c r="E24" s="223" t="s">
        <v>59</v>
      </c>
      <c r="F24" s="223" t="s">
        <v>59</v>
      </c>
      <c r="G24" s="223" t="s">
        <v>59</v>
      </c>
      <c r="H24" s="223" t="s">
        <v>59</v>
      </c>
      <c r="I24" s="223" t="s">
        <v>59</v>
      </c>
      <c r="J24" s="223" t="s">
        <v>59</v>
      </c>
      <c r="K24" s="223" t="s">
        <v>59</v>
      </c>
      <c r="L24" s="223" t="s">
        <v>59</v>
      </c>
      <c r="M24" s="223" t="s">
        <v>59</v>
      </c>
      <c r="N24" s="223" t="s">
        <v>59</v>
      </c>
      <c r="O24" s="223" t="s">
        <v>59</v>
      </c>
      <c r="P24" s="223" t="s">
        <v>59</v>
      </c>
      <c r="Q24" s="223" t="s">
        <v>59</v>
      </c>
      <c r="R24" s="223" t="s">
        <v>59</v>
      </c>
      <c r="S24" s="223" t="s">
        <v>59</v>
      </c>
      <c r="T24" s="223" t="s">
        <v>59</v>
      </c>
      <c r="U24" s="223" t="s">
        <v>59</v>
      </c>
      <c r="V24" s="223" t="s">
        <v>59</v>
      </c>
      <c r="W24" s="223" t="s">
        <v>59</v>
      </c>
      <c r="X24" s="223" t="s">
        <v>59</v>
      </c>
      <c r="Y24" s="223" t="s">
        <v>59</v>
      </c>
      <c r="Z24" s="223" t="s">
        <v>59</v>
      </c>
      <c r="AA24" s="223" t="s">
        <v>59</v>
      </c>
      <c r="AB24" s="278" t="s">
        <v>59</v>
      </c>
      <c r="AC24" s="223" t="s">
        <v>59</v>
      </c>
      <c r="AD24" s="223" t="s">
        <v>59</v>
      </c>
      <c r="AE24" s="223" t="s">
        <v>59</v>
      </c>
      <c r="AF24" s="223" t="s">
        <v>59</v>
      </c>
      <c r="AG24" s="223" t="s">
        <v>59</v>
      </c>
      <c r="AH24" s="223" t="s">
        <v>59</v>
      </c>
      <c r="AI24" s="223" t="s">
        <v>59</v>
      </c>
      <c r="AJ24" s="223" t="s">
        <v>59</v>
      </c>
      <c r="AK24" s="223" t="s">
        <v>59</v>
      </c>
      <c r="AL24" s="212" t="s">
        <v>59</v>
      </c>
      <c r="AM24" s="52" t="s">
        <v>35</v>
      </c>
    </row>
    <row r="25" spans="1:39" ht="12.75" customHeight="1">
      <c r="A25" s="8"/>
      <c r="B25" s="10" t="s">
        <v>43</v>
      </c>
      <c r="C25" s="300">
        <v>3147</v>
      </c>
      <c r="D25" s="287">
        <v>2880</v>
      </c>
      <c r="E25" s="287">
        <v>2798</v>
      </c>
      <c r="F25" s="287">
        <v>2739</v>
      </c>
      <c r="G25" s="287">
        <v>2739</v>
      </c>
      <c r="H25" s="287">
        <v>2805</v>
      </c>
      <c r="I25" s="287">
        <v>2808</v>
      </c>
      <c r="J25" s="287">
        <v>2808</v>
      </c>
      <c r="K25" s="287">
        <v>2802</v>
      </c>
      <c r="L25" s="287">
        <v>2809</v>
      </c>
      <c r="M25" s="287">
        <v>2806</v>
      </c>
      <c r="N25" s="287">
        <v>2811</v>
      </c>
      <c r="O25" s="287">
        <v>2811</v>
      </c>
      <c r="P25" s="287">
        <v>2810</v>
      </c>
      <c r="Q25" s="287">
        <v>2797</v>
      </c>
      <c r="R25" s="287">
        <v>2801</v>
      </c>
      <c r="S25" s="287">
        <v>2888</v>
      </c>
      <c r="T25" s="287">
        <v>2896</v>
      </c>
      <c r="U25" s="287">
        <v>3013</v>
      </c>
      <c r="V25" s="287">
        <v>3013</v>
      </c>
      <c r="W25" s="287">
        <v>3013</v>
      </c>
      <c r="X25" s="287">
        <v>3013</v>
      </c>
      <c r="Y25" s="287">
        <v>3032</v>
      </c>
      <c r="Z25" s="287">
        <v>3031</v>
      </c>
      <c r="AA25" s="287">
        <v>3058</v>
      </c>
      <c r="AB25" s="296">
        <v>2039</v>
      </c>
      <c r="AC25" s="297">
        <v>2155</v>
      </c>
      <c r="AD25" s="297">
        <v>2155</v>
      </c>
      <c r="AE25" s="297">
        <v>2266</v>
      </c>
      <c r="AF25" s="297">
        <v>2266</v>
      </c>
      <c r="AG25" s="297">
        <v>2266</v>
      </c>
      <c r="AH25" s="297">
        <v>2266</v>
      </c>
      <c r="AI25" s="297">
        <v>2307</v>
      </c>
      <c r="AJ25" s="297">
        <v>2302</v>
      </c>
      <c r="AK25" s="297">
        <v>2314</v>
      </c>
      <c r="AL25" s="211">
        <f t="shared" si="3"/>
        <v>75.67037279267495</v>
      </c>
      <c r="AM25" s="10" t="s">
        <v>43</v>
      </c>
    </row>
    <row r="26" spans="1:39" ht="12.75" customHeight="1">
      <c r="A26" s="8"/>
      <c r="B26" s="52" t="s">
        <v>52</v>
      </c>
      <c r="C26" s="299">
        <v>5901</v>
      </c>
      <c r="D26" s="279">
        <v>5857</v>
      </c>
      <c r="E26" s="279">
        <v>5624</v>
      </c>
      <c r="F26" s="279">
        <v>5672</v>
      </c>
      <c r="G26" s="279">
        <v>5672</v>
      </c>
      <c r="H26" s="279">
        <v>5672</v>
      </c>
      <c r="I26" s="279">
        <v>5643</v>
      </c>
      <c r="J26" s="279">
        <v>5643</v>
      </c>
      <c r="K26" s="279">
        <v>5665</v>
      </c>
      <c r="L26" s="279">
        <v>5697</v>
      </c>
      <c r="M26" s="279">
        <v>5779</v>
      </c>
      <c r="N26" s="279">
        <v>5787</v>
      </c>
      <c r="O26" s="279">
        <v>5675</v>
      </c>
      <c r="P26" s="223">
        <v>5691</v>
      </c>
      <c r="Q26" s="279">
        <f>5702+25+91</f>
        <v>5818</v>
      </c>
      <c r="R26" s="223">
        <f>5702+91+25</f>
        <v>5818</v>
      </c>
      <c r="S26" s="223">
        <v>5664</v>
      </c>
      <c r="T26" s="223">
        <v>5356</v>
      </c>
      <c r="U26" s="223">
        <v>5039</v>
      </c>
      <c r="V26" s="223">
        <v>5021</v>
      </c>
      <c r="W26" s="223">
        <v>4894</v>
      </c>
      <c r="X26" s="223">
        <v>4894</v>
      </c>
      <c r="Y26" s="223">
        <f>4967+91</f>
        <v>5058</v>
      </c>
      <c r="Z26" s="223">
        <f>4846+91</f>
        <v>4937</v>
      </c>
      <c r="AA26" s="223">
        <f>4826+91</f>
        <v>4917</v>
      </c>
      <c r="AB26" s="299">
        <f>3520+25</f>
        <v>3545</v>
      </c>
      <c r="AC26" s="279">
        <v>3510</v>
      </c>
      <c r="AD26" s="279">
        <v>3518</v>
      </c>
      <c r="AE26" s="279">
        <v>3427</v>
      </c>
      <c r="AF26" s="279">
        <v>3416</v>
      </c>
      <c r="AG26" s="279">
        <v>3468</v>
      </c>
      <c r="AH26" s="279">
        <v>3468</v>
      </c>
      <c r="AI26" s="279">
        <f>3527</f>
        <v>3527</v>
      </c>
      <c r="AJ26" s="279">
        <v>3517</v>
      </c>
      <c r="AK26" s="279">
        <f>3537</f>
        <v>3537</v>
      </c>
      <c r="AL26" s="213">
        <f t="shared" si="3"/>
        <v>71.93410616229409</v>
      </c>
      <c r="AM26" s="52" t="s">
        <v>52</v>
      </c>
    </row>
    <row r="27" spans="1:39" ht="12.75" customHeight="1">
      <c r="A27" s="8"/>
      <c r="B27" s="10" t="s">
        <v>36</v>
      </c>
      <c r="C27" s="300">
        <v>26678</v>
      </c>
      <c r="D27" s="287">
        <v>27181</v>
      </c>
      <c r="E27" s="287">
        <v>26228</v>
      </c>
      <c r="F27" s="287">
        <v>23986</v>
      </c>
      <c r="G27" s="287">
        <v>23420</v>
      </c>
      <c r="H27" s="287">
        <v>23328</v>
      </c>
      <c r="I27" s="287">
        <v>23210</v>
      </c>
      <c r="J27" s="287">
        <v>22891</v>
      </c>
      <c r="K27" s="287">
        <v>22560</v>
      </c>
      <c r="L27" s="287">
        <v>20134</v>
      </c>
      <c r="M27" s="287">
        <v>20223</v>
      </c>
      <c r="N27" s="287">
        <v>20665</v>
      </c>
      <c r="O27" s="287">
        <v>20250</v>
      </c>
      <c r="P27" s="282">
        <v>19507</v>
      </c>
      <c r="Q27" s="287">
        <v>19429</v>
      </c>
      <c r="R27" s="282">
        <v>19419</v>
      </c>
      <c r="S27" s="282">
        <v>19627</v>
      </c>
      <c r="T27" s="282">
        <v>19764</v>
      </c>
      <c r="U27" s="282">
        <v>19702</v>
      </c>
      <c r="V27" s="282">
        <v>19725</v>
      </c>
      <c r="W27" s="282">
        <v>19617</v>
      </c>
      <c r="X27" s="282">
        <v>18959</v>
      </c>
      <c r="Y27" s="282">
        <v>18942</v>
      </c>
      <c r="Z27" s="282">
        <v>18510</v>
      </c>
      <c r="AA27" s="282">
        <v>18429</v>
      </c>
      <c r="AB27" s="296">
        <v>11831</v>
      </c>
      <c r="AC27" s="297">
        <v>11856</v>
      </c>
      <c r="AD27" s="297">
        <v>11891</v>
      </c>
      <c r="AE27" s="297">
        <v>11854</v>
      </c>
      <c r="AF27" s="297">
        <v>11817</v>
      </c>
      <c r="AG27" s="297">
        <v>11860</v>
      </c>
      <c r="AH27" s="297">
        <v>11817</v>
      </c>
      <c r="AI27" s="297">
        <v>11779</v>
      </c>
      <c r="AJ27" s="297">
        <v>11777</v>
      </c>
      <c r="AK27" s="297">
        <v>11786</v>
      </c>
      <c r="AL27" s="211">
        <f t="shared" si="3"/>
        <v>63.95355146779532</v>
      </c>
      <c r="AM27" s="10" t="s">
        <v>36</v>
      </c>
    </row>
    <row r="28" spans="1:39" ht="12.75" customHeight="1">
      <c r="A28" s="8"/>
      <c r="B28" s="52" t="s">
        <v>53</v>
      </c>
      <c r="C28" s="299">
        <v>3588</v>
      </c>
      <c r="D28" s="279">
        <v>3609</v>
      </c>
      <c r="E28" s="279">
        <v>3064</v>
      </c>
      <c r="F28" s="279">
        <v>2850</v>
      </c>
      <c r="G28" s="279">
        <v>2850</v>
      </c>
      <c r="H28" s="279">
        <v>2856</v>
      </c>
      <c r="I28" s="279">
        <v>2794</v>
      </c>
      <c r="J28" s="279">
        <v>2813</v>
      </c>
      <c r="K28" s="279">
        <v>2814</v>
      </c>
      <c r="L28" s="279">
        <v>2814</v>
      </c>
      <c r="M28" s="279">
        <v>2818</v>
      </c>
      <c r="N28" s="279">
        <v>2818</v>
      </c>
      <c r="O28" s="279">
        <v>2849</v>
      </c>
      <c r="P28" s="223">
        <v>2844</v>
      </c>
      <c r="Q28" s="279">
        <v>2839</v>
      </c>
      <c r="R28" s="223">
        <v>2838</v>
      </c>
      <c r="S28" s="223">
        <v>2842</v>
      </c>
      <c r="T28" s="223">
        <v>2842</v>
      </c>
      <c r="U28" s="223">
        <v>2842</v>
      </c>
      <c r="V28" s="223">
        <v>2793</v>
      </c>
      <c r="W28" s="223">
        <v>2541</v>
      </c>
      <c r="X28" s="223">
        <v>2544</v>
      </c>
      <c r="Y28" s="223">
        <v>2544</v>
      </c>
      <c r="Z28" s="223">
        <v>2545</v>
      </c>
      <c r="AA28" s="223">
        <v>2553</v>
      </c>
      <c r="AB28" s="299">
        <v>1435</v>
      </c>
      <c r="AC28" s="279">
        <v>1460</v>
      </c>
      <c r="AD28" s="279">
        <v>1460</v>
      </c>
      <c r="AE28" s="279">
        <v>1487</v>
      </c>
      <c r="AF28" s="279">
        <v>1629</v>
      </c>
      <c r="AG28" s="279">
        <v>1630</v>
      </c>
      <c r="AH28" s="279">
        <v>1630</v>
      </c>
      <c r="AI28" s="279">
        <v>1629</v>
      </c>
      <c r="AJ28" s="279">
        <v>1639</v>
      </c>
      <c r="AK28" s="279">
        <v>1657</v>
      </c>
      <c r="AL28" s="213">
        <f t="shared" si="3"/>
        <v>64.90403446925185</v>
      </c>
      <c r="AM28" s="52" t="s">
        <v>53</v>
      </c>
    </row>
    <row r="29" spans="1:39" ht="12.75" customHeight="1">
      <c r="A29" s="8"/>
      <c r="B29" s="10" t="s">
        <v>37</v>
      </c>
      <c r="C29" s="300">
        <v>11012</v>
      </c>
      <c r="D29" s="287">
        <v>11110</v>
      </c>
      <c r="E29" s="287">
        <v>11348</v>
      </c>
      <c r="F29" s="287">
        <v>11376</v>
      </c>
      <c r="G29" s="287">
        <v>11385</v>
      </c>
      <c r="H29" s="287">
        <v>11380</v>
      </c>
      <c r="I29" s="287">
        <v>11010</v>
      </c>
      <c r="J29" s="287">
        <v>10981</v>
      </c>
      <c r="K29" s="287">
        <v>11015</v>
      </c>
      <c r="L29" s="287">
        <v>11015</v>
      </c>
      <c r="M29" s="287">
        <v>11002</v>
      </c>
      <c r="N29" s="287">
        <v>11077</v>
      </c>
      <c r="O29" s="287">
        <v>11053</v>
      </c>
      <c r="P29" s="282">
        <v>10948</v>
      </c>
      <c r="Q29" s="287">
        <v>10781</v>
      </c>
      <c r="R29" s="282">
        <v>10777</v>
      </c>
      <c r="S29" s="282">
        <v>10777</v>
      </c>
      <c r="T29" s="282">
        <v>10776</v>
      </c>
      <c r="U29" s="282">
        <v>10777</v>
      </c>
      <c r="V29" s="282">
        <v>10777</v>
      </c>
      <c r="W29" s="282">
        <v>10777</v>
      </c>
      <c r="X29" s="282">
        <v>10768</v>
      </c>
      <c r="Y29" s="282">
        <v>10770</v>
      </c>
      <c r="Z29" s="282">
        <v>10770</v>
      </c>
      <c r="AA29" s="282">
        <v>10766</v>
      </c>
      <c r="AB29" s="296">
        <v>3979</v>
      </c>
      <c r="AC29" s="297">
        <v>3974</v>
      </c>
      <c r="AD29" s="297">
        <v>4002</v>
      </c>
      <c r="AE29" s="297">
        <v>4031</v>
      </c>
      <c r="AF29" s="297">
        <v>4032</v>
      </c>
      <c r="AG29" s="297">
        <v>4032</v>
      </c>
      <c r="AH29" s="297">
        <v>4029</v>
      </c>
      <c r="AI29" s="297">
        <v>4029</v>
      </c>
      <c r="AJ29" s="297">
        <v>4030</v>
      </c>
      <c r="AK29" s="297">
        <v>4030</v>
      </c>
      <c r="AL29" s="211">
        <f t="shared" si="3"/>
        <v>37.43265836893925</v>
      </c>
      <c r="AM29" s="10" t="s">
        <v>37</v>
      </c>
    </row>
    <row r="30" spans="1:39" ht="12.75" customHeight="1">
      <c r="A30" s="8"/>
      <c r="B30" s="52" t="s">
        <v>39</v>
      </c>
      <c r="C30" s="299">
        <v>1055</v>
      </c>
      <c r="D30" s="279">
        <v>1058</v>
      </c>
      <c r="E30" s="279">
        <v>1196</v>
      </c>
      <c r="F30" s="223">
        <v>1201</v>
      </c>
      <c r="G30" s="223">
        <v>1201</v>
      </c>
      <c r="H30" s="223">
        <v>1201</v>
      </c>
      <c r="I30" s="223">
        <v>1201</v>
      </c>
      <c r="J30" s="223">
        <v>1201</v>
      </c>
      <c r="K30" s="223">
        <v>1201</v>
      </c>
      <c r="L30" s="223">
        <v>1229</v>
      </c>
      <c r="M30" s="223">
        <v>1229</v>
      </c>
      <c r="N30" s="223">
        <v>1229</v>
      </c>
      <c r="O30" s="223">
        <v>1229</v>
      </c>
      <c r="P30" s="223">
        <v>1228</v>
      </c>
      <c r="Q30" s="223">
        <v>1228</v>
      </c>
      <c r="R30" s="223">
        <v>1228</v>
      </c>
      <c r="S30" s="223">
        <v>1228</v>
      </c>
      <c r="T30" s="223">
        <v>1228</v>
      </c>
      <c r="U30" s="223">
        <v>1228</v>
      </c>
      <c r="V30" s="223">
        <v>1209</v>
      </c>
      <c r="W30" s="223">
        <v>1209</v>
      </c>
      <c r="X30" s="223">
        <v>1209</v>
      </c>
      <c r="Y30" s="223">
        <v>1208</v>
      </c>
      <c r="Z30" s="223">
        <v>1209</v>
      </c>
      <c r="AA30" s="223">
        <v>1209</v>
      </c>
      <c r="AB30" s="299">
        <v>503</v>
      </c>
      <c r="AC30" s="279">
        <v>503</v>
      </c>
      <c r="AD30" s="279">
        <v>503</v>
      </c>
      <c r="AE30" s="279">
        <v>503</v>
      </c>
      <c r="AF30" s="279">
        <v>500</v>
      </c>
      <c r="AG30" s="279">
        <v>500</v>
      </c>
      <c r="AH30" s="279">
        <v>500</v>
      </c>
      <c r="AI30" s="279">
        <v>500</v>
      </c>
      <c r="AJ30" s="279">
        <v>500</v>
      </c>
      <c r="AK30" s="279">
        <v>500</v>
      </c>
      <c r="AL30" s="213">
        <f t="shared" si="3"/>
        <v>41.3564929693962</v>
      </c>
      <c r="AM30" s="52" t="s">
        <v>39</v>
      </c>
    </row>
    <row r="31" spans="1:39" ht="12.75" customHeight="1">
      <c r="A31" s="8"/>
      <c r="B31" s="10" t="s">
        <v>38</v>
      </c>
      <c r="C31" s="300"/>
      <c r="D31" s="287"/>
      <c r="E31" s="287">
        <v>3660</v>
      </c>
      <c r="F31" s="287">
        <v>3665</v>
      </c>
      <c r="G31" s="287">
        <v>3673</v>
      </c>
      <c r="H31" s="287">
        <v>3673</v>
      </c>
      <c r="I31" s="287">
        <v>3665</v>
      </c>
      <c r="J31" s="287">
        <v>3665</v>
      </c>
      <c r="K31" s="287">
        <v>3662</v>
      </c>
      <c r="L31" s="287">
        <v>3662</v>
      </c>
      <c r="M31" s="287">
        <v>3657</v>
      </c>
      <c r="N31" s="287">
        <v>3657</v>
      </c>
      <c r="O31" s="287">
        <v>3660</v>
      </c>
      <c r="P31" s="282">
        <v>3658</v>
      </c>
      <c r="Q31" s="287">
        <v>3658</v>
      </c>
      <c r="R31" s="282">
        <v>3629</v>
      </c>
      <c r="S31" s="282">
        <v>3623</v>
      </c>
      <c r="T31" s="282">
        <v>3623</v>
      </c>
      <c r="U31" s="282">
        <v>3622</v>
      </c>
      <c r="V31" s="282">
        <v>3624</v>
      </c>
      <c r="W31" s="282">
        <v>3631</v>
      </c>
      <c r="X31" s="282">
        <v>3631</v>
      </c>
      <c r="Y31" s="282">
        <v>3627</v>
      </c>
      <c r="Z31" s="282">
        <v>3626</v>
      </c>
      <c r="AA31" s="282">
        <v>3626</v>
      </c>
      <c r="AB31" s="296">
        <v>1578</v>
      </c>
      <c r="AC31" s="297">
        <v>1577</v>
      </c>
      <c r="AD31" s="297">
        <v>1577</v>
      </c>
      <c r="AE31" s="297">
        <v>1578</v>
      </c>
      <c r="AF31" s="297">
        <v>1578</v>
      </c>
      <c r="AG31" s="297">
        <v>1586</v>
      </c>
      <c r="AH31" s="297">
        <v>1586</v>
      </c>
      <c r="AI31" s="297">
        <v>1586</v>
      </c>
      <c r="AJ31" s="297">
        <v>1587</v>
      </c>
      <c r="AK31" s="297">
        <v>1587</v>
      </c>
      <c r="AL31" s="211">
        <f t="shared" si="3"/>
        <v>43.76723662437948</v>
      </c>
      <c r="AM31" s="10" t="s">
        <v>38</v>
      </c>
    </row>
    <row r="32" spans="1:39" ht="12.75" customHeight="1">
      <c r="A32" s="8"/>
      <c r="B32" s="52" t="s">
        <v>54</v>
      </c>
      <c r="C32" s="299">
        <v>5804</v>
      </c>
      <c r="D32" s="279">
        <v>6075</v>
      </c>
      <c r="E32" s="279">
        <v>5867</v>
      </c>
      <c r="F32" s="279">
        <v>5880</v>
      </c>
      <c r="G32" s="279">
        <v>5859</v>
      </c>
      <c r="H32" s="279">
        <v>5865</v>
      </c>
      <c r="I32" s="279">
        <v>5867</v>
      </c>
      <c r="J32" s="279">
        <v>5836</v>
      </c>
      <c r="K32" s="279">
        <v>5854</v>
      </c>
      <c r="L32" s="279">
        <v>5850</v>
      </c>
      <c r="M32" s="279">
        <v>5850</v>
      </c>
      <c r="N32" s="279">
        <v>5851</v>
      </c>
      <c r="O32" s="279">
        <v>5741</v>
      </c>
      <c r="P32" s="223">
        <v>5732</v>
      </c>
      <c r="Q32" s="279">
        <v>5905</v>
      </c>
      <c r="R32" s="223">
        <v>5899</v>
      </c>
      <c r="S32" s="223">
        <v>5919</v>
      </c>
      <c r="T32" s="223">
        <v>5919</v>
      </c>
      <c r="U32" s="223">
        <v>5919</v>
      </c>
      <c r="V32" s="223">
        <v>5944</v>
      </c>
      <c r="W32" s="223">
        <v>5944</v>
      </c>
      <c r="X32" s="223">
        <v>5944</v>
      </c>
      <c r="Y32" s="223">
        <v>5944</v>
      </c>
      <c r="Z32" s="223">
        <v>5923</v>
      </c>
      <c r="AA32" s="223">
        <v>5926</v>
      </c>
      <c r="AB32" s="299">
        <v>3047</v>
      </c>
      <c r="AC32" s="279">
        <v>3067</v>
      </c>
      <c r="AD32" s="279">
        <v>3067</v>
      </c>
      <c r="AE32" s="279">
        <v>3073</v>
      </c>
      <c r="AF32" s="279">
        <v>3172</v>
      </c>
      <c r="AG32" s="279">
        <v>3172</v>
      </c>
      <c r="AH32" s="279">
        <v>3172</v>
      </c>
      <c r="AI32" s="279">
        <v>3256</v>
      </c>
      <c r="AJ32" s="279">
        <v>3262</v>
      </c>
      <c r="AK32" s="279">
        <v>3270</v>
      </c>
      <c r="AL32" s="213">
        <f t="shared" si="3"/>
        <v>55.18056024299697</v>
      </c>
      <c r="AM32" s="52" t="s">
        <v>54</v>
      </c>
    </row>
    <row r="33" spans="1:39" ht="12.75" customHeight="1">
      <c r="A33" s="8"/>
      <c r="B33" s="10" t="s">
        <v>55</v>
      </c>
      <c r="C33" s="300">
        <v>12203</v>
      </c>
      <c r="D33" s="287">
        <v>12006</v>
      </c>
      <c r="E33" s="287">
        <v>11193</v>
      </c>
      <c r="F33" s="287">
        <v>10925</v>
      </c>
      <c r="G33" s="287">
        <v>10964</v>
      </c>
      <c r="H33" s="287">
        <v>10941</v>
      </c>
      <c r="I33" s="287">
        <v>10997</v>
      </c>
      <c r="J33" s="287">
        <v>11044</v>
      </c>
      <c r="K33" s="287">
        <v>11037</v>
      </c>
      <c r="L33" s="287">
        <v>11021</v>
      </c>
      <c r="M33" s="287">
        <v>11095</v>
      </c>
      <c r="N33" s="287">
        <v>11037</v>
      </c>
      <c r="O33" s="287">
        <v>11050</v>
      </c>
      <c r="P33" s="282">
        <v>11017</v>
      </c>
      <c r="Q33" s="287">
        <v>11020</v>
      </c>
      <c r="R33" s="282">
        <v>10972</v>
      </c>
      <c r="S33" s="282">
        <v>11032</v>
      </c>
      <c r="T33" s="282">
        <v>11138</v>
      </c>
      <c r="U33" s="282">
        <v>11160</v>
      </c>
      <c r="V33" s="282">
        <v>11206</v>
      </c>
      <c r="W33" s="282">
        <v>11136</v>
      </c>
      <c r="X33" s="282">
        <v>10957</v>
      </c>
      <c r="Y33" s="282">
        <v>10881</v>
      </c>
      <c r="Z33" s="282">
        <v>10908</v>
      </c>
      <c r="AA33" s="282">
        <v>10882</v>
      </c>
      <c r="AB33" s="300">
        <v>7848</v>
      </c>
      <c r="AC33" s="287">
        <v>7867</v>
      </c>
      <c r="AD33" s="287">
        <v>7963</v>
      </c>
      <c r="AE33" s="287">
        <v>7965</v>
      </c>
      <c r="AF33" s="287">
        <v>8119</v>
      </c>
      <c r="AG33" s="287">
        <v>8194</v>
      </c>
      <c r="AH33" s="287">
        <v>8214</v>
      </c>
      <c r="AI33" s="287">
        <v>8232</v>
      </c>
      <c r="AJ33" s="287">
        <v>8235</v>
      </c>
      <c r="AK33" s="287">
        <v>8184</v>
      </c>
      <c r="AL33" s="211">
        <f t="shared" si="3"/>
        <v>75.20676346259879</v>
      </c>
      <c r="AM33" s="10" t="s">
        <v>55</v>
      </c>
    </row>
    <row r="34" spans="1:39" ht="12.75" customHeight="1">
      <c r="A34" s="8"/>
      <c r="B34" s="209" t="s">
        <v>44</v>
      </c>
      <c r="C34" s="308">
        <v>19330</v>
      </c>
      <c r="D34" s="309">
        <v>18030</v>
      </c>
      <c r="E34" s="309">
        <v>16914</v>
      </c>
      <c r="F34" s="309">
        <v>17069</v>
      </c>
      <c r="G34" s="309">
        <v>17066</v>
      </c>
      <c r="H34" s="309">
        <v>17176</v>
      </c>
      <c r="I34" s="309">
        <v>17179</v>
      </c>
      <c r="J34" s="309">
        <v>17064</v>
      </c>
      <c r="K34" s="309">
        <v>17044</v>
      </c>
      <c r="L34" s="309">
        <v>17052</v>
      </c>
      <c r="M34" s="309">
        <v>17052</v>
      </c>
      <c r="N34" s="309">
        <v>17052</v>
      </c>
      <c r="O34" s="309">
        <f>58+340+16116</f>
        <v>16514</v>
      </c>
      <c r="P34" s="230">
        <f>58+340+15810</f>
        <v>16208</v>
      </c>
      <c r="Q34" s="309">
        <f>15795+340+58</f>
        <v>16193</v>
      </c>
      <c r="R34" s="230">
        <f>15814+340+58</f>
        <v>16212</v>
      </c>
      <c r="S34" s="230">
        <f>15814+340+58</f>
        <v>16212</v>
      </c>
      <c r="T34" s="230">
        <f>58+15753+340</f>
        <v>16151</v>
      </c>
      <c r="U34" s="230">
        <f>15777+340+58</f>
        <v>16175</v>
      </c>
      <c r="V34" s="230">
        <f>15738+58+338+274</f>
        <v>16408</v>
      </c>
      <c r="W34" s="230">
        <f>15753+338+274+58</f>
        <v>16423</v>
      </c>
      <c r="X34" s="230">
        <f>15753+274+58+338</f>
        <v>16423</v>
      </c>
      <c r="Y34" s="230">
        <v>16209</v>
      </c>
      <c r="Z34" s="230">
        <v>16209</v>
      </c>
      <c r="AA34" s="230">
        <v>16253</v>
      </c>
      <c r="AB34" s="308">
        <f>5255+58</f>
        <v>5313</v>
      </c>
      <c r="AC34" s="309">
        <v>5318</v>
      </c>
      <c r="AD34" s="309">
        <f>58+5249</f>
        <v>5307</v>
      </c>
      <c r="AE34" s="309">
        <f>5262+58</f>
        <v>5320</v>
      </c>
      <c r="AF34" s="309">
        <f>5261+58+274</f>
        <v>5593</v>
      </c>
      <c r="AG34" s="309">
        <f>5265+274+58</f>
        <v>5597</v>
      </c>
      <c r="AH34" s="309">
        <f>5268+274+58</f>
        <v>5600</v>
      </c>
      <c r="AI34" s="309">
        <f>Y34*33/100</f>
        <v>5348.97</v>
      </c>
      <c r="AJ34" s="309">
        <f>Z34*33.2/100</f>
        <v>5381.388000000001</v>
      </c>
      <c r="AK34" s="309">
        <v>5483</v>
      </c>
      <c r="AL34" s="239">
        <f t="shared" si="3"/>
        <v>33.73531040423307</v>
      </c>
      <c r="AM34" s="209" t="s">
        <v>44</v>
      </c>
    </row>
    <row r="35" spans="1:39" ht="12.75" customHeight="1">
      <c r="A35" s="8"/>
      <c r="B35" s="9" t="s">
        <v>123</v>
      </c>
      <c r="C35" s="294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76"/>
      <c r="Q35" s="295"/>
      <c r="R35" s="276"/>
      <c r="S35" s="276"/>
      <c r="T35" s="276">
        <v>423</v>
      </c>
      <c r="U35" s="310">
        <v>423</v>
      </c>
      <c r="V35" s="310">
        <v>423</v>
      </c>
      <c r="W35" s="310">
        <v>423</v>
      </c>
      <c r="X35" s="310">
        <v>423</v>
      </c>
      <c r="Y35" s="310">
        <v>423</v>
      </c>
      <c r="Z35" s="310">
        <v>423</v>
      </c>
      <c r="AA35" s="310">
        <v>423</v>
      </c>
      <c r="AB35" s="294"/>
      <c r="AC35" s="295"/>
      <c r="AD35" s="295">
        <v>0</v>
      </c>
      <c r="AE35" s="311">
        <v>0</v>
      </c>
      <c r="AF35" s="311">
        <v>0</v>
      </c>
      <c r="AG35" s="311">
        <v>0</v>
      </c>
      <c r="AH35" s="311">
        <v>0</v>
      </c>
      <c r="AI35" s="311">
        <v>0</v>
      </c>
      <c r="AJ35" s="311">
        <v>0</v>
      </c>
      <c r="AK35" s="311">
        <v>0</v>
      </c>
      <c r="AL35" s="293">
        <f t="shared" si="3"/>
        <v>0</v>
      </c>
      <c r="AM35" s="9" t="s">
        <v>123</v>
      </c>
    </row>
    <row r="36" spans="1:39" ht="12.75" customHeight="1">
      <c r="A36" s="8"/>
      <c r="B36" s="209" t="s">
        <v>121</v>
      </c>
      <c r="C36" s="308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>
        <v>249</v>
      </c>
      <c r="P36" s="230">
        <v>248</v>
      </c>
      <c r="Q36" s="309">
        <v>248</v>
      </c>
      <c r="R36" s="230">
        <v>248</v>
      </c>
      <c r="S36" s="230">
        <v>249</v>
      </c>
      <c r="T36" s="230">
        <v>249</v>
      </c>
      <c r="U36" s="230">
        <v>249</v>
      </c>
      <c r="V36" s="230">
        <v>249</v>
      </c>
      <c r="W36" s="230">
        <v>248.76</v>
      </c>
      <c r="X36" s="230">
        <v>248.76</v>
      </c>
      <c r="Y36" s="230">
        <v>250</v>
      </c>
      <c r="Z36" s="230">
        <v>250</v>
      </c>
      <c r="AA36" s="230">
        <v>250.5</v>
      </c>
      <c r="AB36" s="308">
        <v>167</v>
      </c>
      <c r="AC36" s="309">
        <v>168</v>
      </c>
      <c r="AD36" s="309">
        <v>168</v>
      </c>
      <c r="AE36" s="309">
        <v>168</v>
      </c>
      <c r="AF36" s="309">
        <v>224.06</v>
      </c>
      <c r="AG36" s="309">
        <v>224.06</v>
      </c>
      <c r="AH36" s="309">
        <v>224.06</v>
      </c>
      <c r="AI36" s="309">
        <v>224</v>
      </c>
      <c r="AJ36" s="309">
        <v>224</v>
      </c>
      <c r="AK36" s="309">
        <v>223.8</v>
      </c>
      <c r="AL36" s="239">
        <f t="shared" si="3"/>
        <v>89.34131736526948</v>
      </c>
      <c r="AM36" s="209" t="s">
        <v>121</v>
      </c>
    </row>
    <row r="37" spans="1:39" ht="12.75" customHeight="1">
      <c r="A37" s="8"/>
      <c r="B37" s="10" t="s">
        <v>1</v>
      </c>
      <c r="C37" s="300"/>
      <c r="D37" s="287">
        <v>673</v>
      </c>
      <c r="E37" s="287">
        <v>696</v>
      </c>
      <c r="F37" s="287">
        <v>699</v>
      </c>
      <c r="G37" s="287">
        <v>699</v>
      </c>
      <c r="H37" s="287">
        <v>699</v>
      </c>
      <c r="I37" s="287">
        <v>699</v>
      </c>
      <c r="J37" s="287">
        <v>699</v>
      </c>
      <c r="K37" s="287">
        <v>699</v>
      </c>
      <c r="L37" s="287">
        <v>699</v>
      </c>
      <c r="M37" s="287">
        <v>699</v>
      </c>
      <c r="N37" s="287">
        <v>699</v>
      </c>
      <c r="O37" s="287">
        <v>699</v>
      </c>
      <c r="P37" s="282">
        <v>699</v>
      </c>
      <c r="Q37" s="287">
        <v>699</v>
      </c>
      <c r="R37" s="282">
        <v>699</v>
      </c>
      <c r="S37" s="282">
        <v>699</v>
      </c>
      <c r="T37" s="282">
        <v>699</v>
      </c>
      <c r="U37" s="282">
        <v>699</v>
      </c>
      <c r="V37" s="282">
        <v>699</v>
      </c>
      <c r="W37" s="282">
        <v>699</v>
      </c>
      <c r="X37" s="282">
        <v>699</v>
      </c>
      <c r="Y37" s="282">
        <v>699</v>
      </c>
      <c r="Z37" s="282">
        <v>699</v>
      </c>
      <c r="AA37" s="282">
        <v>683</v>
      </c>
      <c r="AB37" s="300">
        <v>234</v>
      </c>
      <c r="AC37" s="287">
        <v>234</v>
      </c>
      <c r="AD37" s="287">
        <v>234</v>
      </c>
      <c r="AE37" s="287">
        <v>234</v>
      </c>
      <c r="AF37" s="287">
        <v>234</v>
      </c>
      <c r="AG37" s="287">
        <v>234</v>
      </c>
      <c r="AH37" s="287">
        <v>234</v>
      </c>
      <c r="AI37" s="287">
        <v>234</v>
      </c>
      <c r="AJ37" s="287">
        <v>234</v>
      </c>
      <c r="AK37" s="287">
        <v>234</v>
      </c>
      <c r="AL37" s="211">
        <f t="shared" si="3"/>
        <v>34.2606149341142</v>
      </c>
      <c r="AM37" s="10" t="s">
        <v>1</v>
      </c>
    </row>
    <row r="38" spans="1:39" ht="12.75" customHeight="1">
      <c r="A38" s="8"/>
      <c r="B38" s="209" t="s">
        <v>122</v>
      </c>
      <c r="C38" s="308"/>
      <c r="D38" s="309"/>
      <c r="E38" s="309"/>
      <c r="F38" s="309"/>
      <c r="G38" s="309"/>
      <c r="H38" s="309"/>
      <c r="I38" s="309"/>
      <c r="J38" s="309"/>
      <c r="K38" s="309"/>
      <c r="L38" s="309"/>
      <c r="M38" s="309"/>
      <c r="N38" s="309">
        <v>3809</v>
      </c>
      <c r="O38" s="230">
        <v>3809</v>
      </c>
      <c r="P38" s="230">
        <v>3809</v>
      </c>
      <c r="Q38" s="309">
        <v>3809</v>
      </c>
      <c r="R38" s="230">
        <v>3809</v>
      </c>
      <c r="S38" s="230">
        <v>3809</v>
      </c>
      <c r="T38" s="230">
        <v>3809</v>
      </c>
      <c r="U38" s="230">
        <v>3809</v>
      </c>
      <c r="V38" s="230">
        <v>3809</v>
      </c>
      <c r="W38" s="230">
        <v>3809</v>
      </c>
      <c r="X38" s="230">
        <v>3809</v>
      </c>
      <c r="Y38" s="230">
        <v>3809</v>
      </c>
      <c r="Z38" s="230">
        <v>3739</v>
      </c>
      <c r="AA38" s="230">
        <v>3739</v>
      </c>
      <c r="AB38" s="308">
        <v>1254</v>
      </c>
      <c r="AC38" s="309">
        <v>1254</v>
      </c>
      <c r="AD38" s="309">
        <v>1254</v>
      </c>
      <c r="AE38" s="309">
        <v>1278</v>
      </c>
      <c r="AF38" s="309">
        <v>1279</v>
      </c>
      <c r="AG38" s="309">
        <v>1279</v>
      </c>
      <c r="AH38" s="309">
        <v>1275</v>
      </c>
      <c r="AI38" s="309">
        <v>1275</v>
      </c>
      <c r="AJ38" s="309">
        <v>1279</v>
      </c>
      <c r="AK38" s="309">
        <v>1279</v>
      </c>
      <c r="AL38" s="239">
        <f t="shared" si="3"/>
        <v>34.20700722118213</v>
      </c>
      <c r="AM38" s="209" t="s">
        <v>122</v>
      </c>
    </row>
    <row r="39" spans="1:39" ht="12.75" customHeight="1">
      <c r="A39" s="8"/>
      <c r="B39" s="12" t="s">
        <v>40</v>
      </c>
      <c r="C39" s="312">
        <v>7985</v>
      </c>
      <c r="D39" s="313">
        <v>8387</v>
      </c>
      <c r="E39" s="313">
        <v>8429</v>
      </c>
      <c r="F39" s="313">
        <v>8549</v>
      </c>
      <c r="G39" s="313">
        <v>8607</v>
      </c>
      <c r="H39" s="313">
        <v>8607</v>
      </c>
      <c r="I39" s="313">
        <v>8607</v>
      </c>
      <c r="J39" s="313">
        <v>8682</v>
      </c>
      <c r="K39" s="313">
        <v>8671</v>
      </c>
      <c r="L39" s="313">
        <v>8671</v>
      </c>
      <c r="M39" s="313">
        <v>8671</v>
      </c>
      <c r="N39" s="313">
        <v>8697</v>
      </c>
      <c r="O39" s="313">
        <v>8697</v>
      </c>
      <c r="P39" s="290">
        <v>8697</v>
      </c>
      <c r="Q39" s="313">
        <v>8697</v>
      </c>
      <c r="R39" s="290">
        <v>8697</v>
      </c>
      <c r="S39" s="290">
        <v>8699</v>
      </c>
      <c r="T39" s="290">
        <v>9080</v>
      </c>
      <c r="U39" s="282">
        <v>9594</v>
      </c>
      <c r="V39" s="282">
        <v>9642</v>
      </c>
      <c r="W39" s="282">
        <v>9642</v>
      </c>
      <c r="X39" s="282">
        <v>9718</v>
      </c>
      <c r="Y39" s="282">
        <v>10087</v>
      </c>
      <c r="Z39" s="282">
        <v>10131</v>
      </c>
      <c r="AA39" s="282">
        <v>10131</v>
      </c>
      <c r="AB39" s="300">
        <v>1920</v>
      </c>
      <c r="AC39" s="287">
        <v>1928</v>
      </c>
      <c r="AD39" s="287">
        <v>2313</v>
      </c>
      <c r="AE39" s="287">
        <v>2791</v>
      </c>
      <c r="AF39" s="287">
        <v>2789</v>
      </c>
      <c r="AG39" s="287">
        <v>2840</v>
      </c>
      <c r="AH39" s="287">
        <v>2922</v>
      </c>
      <c r="AI39" s="287">
        <v>3330</v>
      </c>
      <c r="AJ39" s="287">
        <v>3423</v>
      </c>
      <c r="AK39" s="287">
        <v>3856</v>
      </c>
      <c r="AL39" s="211">
        <f t="shared" si="3"/>
        <v>38.061395716118845</v>
      </c>
      <c r="AM39" s="12" t="s">
        <v>40</v>
      </c>
    </row>
    <row r="40" spans="1:39" ht="12.75" customHeight="1">
      <c r="A40" s="8"/>
      <c r="B40" s="209" t="s">
        <v>26</v>
      </c>
      <c r="C40" s="286" t="s">
        <v>59</v>
      </c>
      <c r="D40" s="314" t="s">
        <v>59</v>
      </c>
      <c r="E40" s="315" t="s">
        <v>59</v>
      </c>
      <c r="F40" s="315" t="s">
        <v>59</v>
      </c>
      <c r="G40" s="314" t="s">
        <v>59</v>
      </c>
      <c r="H40" s="314" t="s">
        <v>59</v>
      </c>
      <c r="I40" s="314" t="s">
        <v>59</v>
      </c>
      <c r="J40" s="314" t="s">
        <v>59</v>
      </c>
      <c r="K40" s="314" t="s">
        <v>59</v>
      </c>
      <c r="L40" s="314" t="s">
        <v>59</v>
      </c>
      <c r="M40" s="314" t="s">
        <v>59</v>
      </c>
      <c r="N40" s="314" t="s">
        <v>59</v>
      </c>
      <c r="O40" s="315" t="s">
        <v>59</v>
      </c>
      <c r="P40" s="315" t="s">
        <v>59</v>
      </c>
      <c r="Q40" s="315" t="s">
        <v>59</v>
      </c>
      <c r="R40" s="315" t="s">
        <v>59</v>
      </c>
      <c r="S40" s="315" t="s">
        <v>59</v>
      </c>
      <c r="T40" s="315" t="s">
        <v>59</v>
      </c>
      <c r="U40" s="315" t="s">
        <v>59</v>
      </c>
      <c r="V40" s="315" t="s">
        <v>59</v>
      </c>
      <c r="W40" s="315" t="s">
        <v>59</v>
      </c>
      <c r="X40" s="315" t="s">
        <v>59</v>
      </c>
      <c r="Y40" s="315" t="s">
        <v>59</v>
      </c>
      <c r="Z40" s="315" t="s">
        <v>59</v>
      </c>
      <c r="AA40" s="315" t="s">
        <v>59</v>
      </c>
      <c r="AB40" s="316" t="s">
        <v>59</v>
      </c>
      <c r="AC40" s="315" t="s">
        <v>59</v>
      </c>
      <c r="AD40" s="315" t="s">
        <v>59</v>
      </c>
      <c r="AE40" s="315" t="s">
        <v>59</v>
      </c>
      <c r="AF40" s="315" t="s">
        <v>59</v>
      </c>
      <c r="AG40" s="315" t="s">
        <v>59</v>
      </c>
      <c r="AH40" s="315" t="s">
        <v>59</v>
      </c>
      <c r="AI40" s="315" t="s">
        <v>59</v>
      </c>
      <c r="AJ40" s="315" t="s">
        <v>59</v>
      </c>
      <c r="AK40" s="315" t="s">
        <v>59</v>
      </c>
      <c r="AL40" s="274" t="s">
        <v>59</v>
      </c>
      <c r="AM40" s="209" t="s">
        <v>26</v>
      </c>
    </row>
    <row r="41" spans="1:39" ht="12.75" customHeight="1">
      <c r="A41" s="8"/>
      <c r="B41" s="10" t="s">
        <v>56</v>
      </c>
      <c r="C41" s="300">
        <v>4242</v>
      </c>
      <c r="D41" s="287">
        <v>4242</v>
      </c>
      <c r="E41" s="287">
        <v>4044</v>
      </c>
      <c r="F41" s="287">
        <v>4023</v>
      </c>
      <c r="G41" s="287">
        <v>4152</v>
      </c>
      <c r="H41" s="287">
        <v>4152</v>
      </c>
      <c r="I41" s="287">
        <v>4152</v>
      </c>
      <c r="J41" s="287">
        <v>4021</v>
      </c>
      <c r="K41" s="287">
        <v>4179</v>
      </c>
      <c r="L41" s="287">
        <v>4178</v>
      </c>
      <c r="M41" s="287">
        <v>4077</v>
      </c>
      <c r="N41" s="287">
        <v>4077</v>
      </c>
      <c r="O41" s="287">
        <v>4077</v>
      </c>
      <c r="P41" s="282">
        <v>4114</v>
      </c>
      <c r="Q41" s="287">
        <v>4114</v>
      </c>
      <c r="R41" s="282">
        <v>4114</v>
      </c>
      <c r="S41" s="282">
        <v>4114</v>
      </c>
      <c r="T41" s="282">
        <v>3910</v>
      </c>
      <c r="U41" s="282">
        <v>3958</v>
      </c>
      <c r="V41" s="282">
        <v>3910</v>
      </c>
      <c r="W41" s="282">
        <v>3891</v>
      </c>
      <c r="X41" s="282">
        <v>3897</v>
      </c>
      <c r="Y41" s="282">
        <v>3906</v>
      </c>
      <c r="Z41" s="282">
        <v>3896</v>
      </c>
      <c r="AA41" s="282">
        <v>3895</v>
      </c>
      <c r="AB41" s="300">
        <v>2552</v>
      </c>
      <c r="AC41" s="287">
        <v>2552</v>
      </c>
      <c r="AD41" s="287">
        <v>2505</v>
      </c>
      <c r="AE41" s="287">
        <v>2524</v>
      </c>
      <c r="AF41" s="287">
        <v>2516</v>
      </c>
      <c r="AG41" s="287">
        <v>2498</v>
      </c>
      <c r="AH41" s="287">
        <v>2500</v>
      </c>
      <c r="AI41" s="287">
        <v>2470</v>
      </c>
      <c r="AJ41" s="287">
        <v>2460</v>
      </c>
      <c r="AK41" s="287">
        <v>2459</v>
      </c>
      <c r="AL41" s="211">
        <f t="shared" si="3"/>
        <v>63.13222079589217</v>
      </c>
      <c r="AM41" s="10" t="s">
        <v>56</v>
      </c>
    </row>
    <row r="42" spans="1:39" ht="12.75" customHeight="1">
      <c r="A42" s="8"/>
      <c r="B42" s="232" t="s">
        <v>27</v>
      </c>
      <c r="C42" s="317">
        <v>3161</v>
      </c>
      <c r="D42" s="318">
        <v>3178</v>
      </c>
      <c r="E42" s="318">
        <v>3215</v>
      </c>
      <c r="F42" s="318">
        <v>3232</v>
      </c>
      <c r="G42" s="318">
        <v>3234</v>
      </c>
      <c r="H42" s="318">
        <v>3184</v>
      </c>
      <c r="I42" s="318">
        <v>3151</v>
      </c>
      <c r="J42" s="318">
        <v>3143</v>
      </c>
      <c r="K42" s="318">
        <v>3216</v>
      </c>
      <c r="L42" s="318">
        <v>3225</v>
      </c>
      <c r="M42" s="318">
        <v>3222</v>
      </c>
      <c r="N42" s="318">
        <f>2990+241</f>
        <v>3231</v>
      </c>
      <c r="O42" s="318">
        <v>3381</v>
      </c>
      <c r="P42" s="319">
        <f>241+3158</f>
        <v>3399</v>
      </c>
      <c r="Q42" s="318">
        <f>3158+405</f>
        <v>3563</v>
      </c>
      <c r="R42" s="319">
        <f>3158+405</f>
        <v>3563</v>
      </c>
      <c r="S42" s="319">
        <v>3557</v>
      </c>
      <c r="T42" s="319">
        <f>460+3139</f>
        <v>3599</v>
      </c>
      <c r="U42" s="319">
        <f>3137+460</f>
        <v>3597</v>
      </c>
      <c r="V42" s="319">
        <v>3574</v>
      </c>
      <c r="W42" s="319">
        <f>3138+413</f>
        <v>3551</v>
      </c>
      <c r="X42" s="319">
        <f>3175+413</f>
        <v>3588</v>
      </c>
      <c r="Y42" s="319">
        <f>3171+436</f>
        <v>3607</v>
      </c>
      <c r="Z42" s="319">
        <f>3172+420</f>
        <v>3592</v>
      </c>
      <c r="AA42" s="319">
        <f>3230+420</f>
        <v>3650</v>
      </c>
      <c r="AB42" s="317">
        <f>3158+405</f>
        <v>3563</v>
      </c>
      <c r="AC42" s="318">
        <v>3557</v>
      </c>
      <c r="AD42" s="318">
        <f>460+3139</f>
        <v>3599</v>
      </c>
      <c r="AE42" s="318">
        <f>3137+436</f>
        <v>3573</v>
      </c>
      <c r="AF42" s="318">
        <f>3137+436</f>
        <v>3573</v>
      </c>
      <c r="AG42" s="318">
        <f>3137+413</f>
        <v>3550</v>
      </c>
      <c r="AH42" s="318">
        <f>3174+413</f>
        <v>3587</v>
      </c>
      <c r="AI42" s="318">
        <f>3171+436</f>
        <v>3607</v>
      </c>
      <c r="AJ42" s="318">
        <f>3171+420</f>
        <v>3591</v>
      </c>
      <c r="AK42" s="318">
        <f>3230+420</f>
        <v>3650</v>
      </c>
      <c r="AL42" s="238">
        <f t="shared" si="3"/>
        <v>100</v>
      </c>
      <c r="AM42" s="232" t="s">
        <v>27</v>
      </c>
    </row>
    <row r="43" spans="1:39" ht="12.75" customHeight="1">
      <c r="A43" s="8"/>
      <c r="B43" s="398" t="s">
        <v>129</v>
      </c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178"/>
      <c r="AF43" s="178"/>
      <c r="AG43" s="178"/>
      <c r="AH43" s="178"/>
      <c r="AI43" s="178"/>
      <c r="AJ43" s="178"/>
      <c r="AK43" s="178"/>
      <c r="AL43" s="178"/>
      <c r="AM43" s="178"/>
    </row>
    <row r="44" spans="1:39" ht="12.75" customHeight="1">
      <c r="A44" s="8"/>
      <c r="B44" s="175" t="s">
        <v>0</v>
      </c>
      <c r="D44" s="175"/>
      <c r="E44" s="175"/>
      <c r="F44" s="175"/>
      <c r="G44" s="175"/>
      <c r="H44" s="175"/>
      <c r="I44" s="175"/>
      <c r="J44" s="175"/>
      <c r="AD44" s="24"/>
      <c r="AE44" s="24"/>
      <c r="AF44" s="24"/>
      <c r="AG44" s="24"/>
      <c r="AH44" s="24"/>
      <c r="AI44" s="24"/>
      <c r="AJ44" s="24"/>
      <c r="AK44" s="24"/>
      <c r="AL44" s="24"/>
      <c r="AM44" s="24"/>
    </row>
    <row r="45" ht="12.75" customHeight="1">
      <c r="B45" s="214" t="s">
        <v>133</v>
      </c>
    </row>
    <row r="46" ht="12.75" customHeight="1">
      <c r="B46" s="214" t="s">
        <v>134</v>
      </c>
    </row>
    <row r="47" ht="11.25">
      <c r="B47" s="2" t="s">
        <v>128</v>
      </c>
    </row>
    <row r="48" ht="11.25">
      <c r="F48" s="175"/>
    </row>
  </sheetData>
  <sheetProtection/>
  <mergeCells count="3">
    <mergeCell ref="B1:C1"/>
    <mergeCell ref="B43:AD43"/>
    <mergeCell ref="B2:AL2"/>
  </mergeCells>
  <printOptions horizontalCentered="1"/>
  <pageMargins left="0.4724409448818898" right="0.4724409448818898" top="0.5118110236220472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"/>
  <sheetViews>
    <sheetView zoomScalePageLayoutView="0" workbookViewId="0" topLeftCell="A1">
      <selection activeCell="Q34" sqref="Q34"/>
    </sheetView>
  </sheetViews>
  <sheetFormatPr defaultColWidth="9.140625" defaultRowHeight="12.75"/>
  <cols>
    <col min="1" max="1" width="1.421875" style="0" customWidth="1"/>
    <col min="2" max="2" width="7.57421875" style="0" customWidth="1"/>
    <col min="3" max="11" width="7.7109375" style="0" customWidth="1"/>
    <col min="12" max="12" width="8.421875" style="0" customWidth="1"/>
    <col min="13" max="13" width="1.57421875" style="0" customWidth="1"/>
  </cols>
  <sheetData>
    <row r="1" spans="2:12" ht="14.25" customHeight="1">
      <c r="B1" s="416"/>
      <c r="C1" s="416"/>
      <c r="D1" s="25"/>
      <c r="E1" s="25"/>
      <c r="F1" s="25"/>
      <c r="G1" s="25"/>
      <c r="H1" s="25"/>
      <c r="I1" s="25"/>
      <c r="J1" s="25"/>
      <c r="K1" s="25"/>
      <c r="L1" s="16" t="s">
        <v>110</v>
      </c>
    </row>
    <row r="2" spans="2:12" ht="30" customHeight="1">
      <c r="B2" s="417" t="s">
        <v>61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</row>
    <row r="3" spans="2:12" ht="15" customHeight="1">
      <c r="B3" s="418" t="s">
        <v>82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</row>
    <row r="4" spans="2:12" ht="12.75" customHeight="1">
      <c r="B4" s="419" t="s">
        <v>2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</row>
    <row r="5" spans="2:12" s="20" customFormat="1" ht="24.75" customHeight="1">
      <c r="B5" s="32"/>
      <c r="C5" s="53" t="s">
        <v>45</v>
      </c>
      <c r="D5" s="54" t="s">
        <v>46</v>
      </c>
      <c r="E5" s="54" t="s">
        <v>47</v>
      </c>
      <c r="F5" s="54" t="s">
        <v>48</v>
      </c>
      <c r="G5" s="54" t="s">
        <v>50</v>
      </c>
      <c r="H5" s="54" t="s">
        <v>43</v>
      </c>
      <c r="I5" s="54" t="s">
        <v>52</v>
      </c>
      <c r="J5" s="54" t="s">
        <v>36</v>
      </c>
      <c r="K5" s="55" t="s">
        <v>44</v>
      </c>
      <c r="L5" s="55" t="s">
        <v>81</v>
      </c>
    </row>
    <row r="6" spans="2:12" s="15" customFormat="1" ht="12.75" customHeight="1" hidden="1">
      <c r="B6" s="82">
        <v>1981</v>
      </c>
      <c r="C6" s="176" t="s">
        <v>100</v>
      </c>
      <c r="D6" s="166" t="s">
        <v>100</v>
      </c>
      <c r="E6" s="166" t="s">
        <v>100</v>
      </c>
      <c r="F6" s="304">
        <v>425</v>
      </c>
      <c r="G6" s="304">
        <v>122</v>
      </c>
      <c r="H6" s="307" t="s">
        <v>59</v>
      </c>
      <c r="I6" s="307" t="s">
        <v>59</v>
      </c>
      <c r="J6" s="307" t="s">
        <v>59</v>
      </c>
      <c r="K6" s="177" t="s">
        <v>100</v>
      </c>
      <c r="L6" s="323">
        <f aca="true" t="shared" si="0" ref="L6:L34">SUM(C6:K6)</f>
        <v>547</v>
      </c>
    </row>
    <row r="7" spans="2:12" s="15" customFormat="1" ht="12.75" customHeight="1" hidden="1">
      <c r="B7" s="83">
        <v>1983</v>
      </c>
      <c r="C7" s="151" t="s">
        <v>100</v>
      </c>
      <c r="D7" s="152" t="s">
        <v>100</v>
      </c>
      <c r="E7" s="152" t="s">
        <v>100</v>
      </c>
      <c r="F7" s="304">
        <v>425</v>
      </c>
      <c r="G7" s="304">
        <v>122</v>
      </c>
      <c r="H7" s="307" t="s">
        <v>59</v>
      </c>
      <c r="I7" s="307" t="s">
        <v>59</v>
      </c>
      <c r="J7" s="307" t="s">
        <v>59</v>
      </c>
      <c r="K7" s="153" t="s">
        <v>100</v>
      </c>
      <c r="L7" s="323">
        <f t="shared" si="0"/>
        <v>547</v>
      </c>
    </row>
    <row r="8" spans="2:12" s="15" customFormat="1" ht="15" customHeight="1" hidden="1">
      <c r="B8" s="83">
        <v>1984</v>
      </c>
      <c r="C8" s="151" t="s">
        <v>100</v>
      </c>
      <c r="D8" s="152" t="s">
        <v>100</v>
      </c>
      <c r="E8" s="152" t="s">
        <v>100</v>
      </c>
      <c r="F8" s="304">
        <v>425</v>
      </c>
      <c r="G8" s="304">
        <v>122</v>
      </c>
      <c r="H8" s="307" t="s">
        <v>59</v>
      </c>
      <c r="I8" s="307" t="s">
        <v>59</v>
      </c>
      <c r="J8" s="307" t="s">
        <v>59</v>
      </c>
      <c r="K8" s="153" t="s">
        <v>100</v>
      </c>
      <c r="L8" s="323">
        <f t="shared" si="0"/>
        <v>547</v>
      </c>
    </row>
    <row r="9" spans="2:12" s="20" customFormat="1" ht="12.75" customHeight="1">
      <c r="B9" s="83">
        <v>1985</v>
      </c>
      <c r="C9" s="285" t="s">
        <v>100</v>
      </c>
      <c r="D9" s="305" t="s">
        <v>100</v>
      </c>
      <c r="E9" s="305" t="s">
        <v>100</v>
      </c>
      <c r="F9" s="304">
        <v>425</v>
      </c>
      <c r="G9" s="304">
        <f>122+52</f>
        <v>174</v>
      </c>
      <c r="H9" s="307" t="s">
        <v>59</v>
      </c>
      <c r="I9" s="307" t="s">
        <v>59</v>
      </c>
      <c r="J9" s="307" t="s">
        <v>59</v>
      </c>
      <c r="K9" s="322" t="s">
        <v>100</v>
      </c>
      <c r="L9" s="323">
        <f t="shared" si="0"/>
        <v>599</v>
      </c>
    </row>
    <row r="10" spans="2:12" s="20" customFormat="1" ht="12.75" customHeight="1" hidden="1">
      <c r="B10" s="83">
        <v>1986</v>
      </c>
      <c r="C10" s="285" t="s">
        <v>100</v>
      </c>
      <c r="D10" s="305" t="s">
        <v>100</v>
      </c>
      <c r="E10" s="305" t="s">
        <v>100</v>
      </c>
      <c r="F10" s="304">
        <v>425</v>
      </c>
      <c r="G10" s="304">
        <f aca="true" t="shared" si="1" ref="G10:G15">122+52+20</f>
        <v>194</v>
      </c>
      <c r="H10" s="307" t="s">
        <v>59</v>
      </c>
      <c r="I10" s="307" t="s">
        <v>59</v>
      </c>
      <c r="J10" s="307" t="s">
        <v>59</v>
      </c>
      <c r="K10" s="322" t="s">
        <v>100</v>
      </c>
      <c r="L10" s="323">
        <f t="shared" si="0"/>
        <v>619</v>
      </c>
    </row>
    <row r="11" spans="2:12" s="20" customFormat="1" ht="12.75" customHeight="1" hidden="1">
      <c r="B11" s="83">
        <v>1987</v>
      </c>
      <c r="C11" s="285" t="s">
        <v>100</v>
      </c>
      <c r="D11" s="305" t="s">
        <v>100</v>
      </c>
      <c r="E11" s="305" t="s">
        <v>100</v>
      </c>
      <c r="F11" s="304">
        <v>425</v>
      </c>
      <c r="G11" s="304">
        <f t="shared" si="1"/>
        <v>194</v>
      </c>
      <c r="H11" s="307" t="s">
        <v>59</v>
      </c>
      <c r="I11" s="307" t="s">
        <v>59</v>
      </c>
      <c r="J11" s="307" t="s">
        <v>59</v>
      </c>
      <c r="K11" s="322" t="s">
        <v>100</v>
      </c>
      <c r="L11" s="323">
        <f t="shared" si="0"/>
        <v>619</v>
      </c>
    </row>
    <row r="12" spans="2:12" s="20" customFormat="1" ht="12.75" customHeight="1" hidden="1">
      <c r="B12" s="83">
        <v>1988</v>
      </c>
      <c r="C12" s="285" t="s">
        <v>100</v>
      </c>
      <c r="D12" s="305">
        <v>90</v>
      </c>
      <c r="E12" s="305" t="s">
        <v>100</v>
      </c>
      <c r="F12" s="304">
        <v>425</v>
      </c>
      <c r="G12" s="304">
        <f t="shared" si="1"/>
        <v>194</v>
      </c>
      <c r="H12" s="307" t="s">
        <v>59</v>
      </c>
      <c r="I12" s="307" t="s">
        <v>59</v>
      </c>
      <c r="J12" s="307" t="s">
        <v>59</v>
      </c>
      <c r="K12" s="322" t="s">
        <v>100</v>
      </c>
      <c r="L12" s="323">
        <f t="shared" si="0"/>
        <v>709</v>
      </c>
    </row>
    <row r="13" spans="2:12" s="20" customFormat="1" ht="12.75" customHeight="1" hidden="1">
      <c r="B13" s="83">
        <v>1989</v>
      </c>
      <c r="C13" s="285" t="s">
        <v>100</v>
      </c>
      <c r="D13" s="305">
        <v>90</v>
      </c>
      <c r="E13" s="305" t="s">
        <v>100</v>
      </c>
      <c r="F13" s="304">
        <f>425+292</f>
        <v>717</v>
      </c>
      <c r="G13" s="304">
        <f t="shared" si="1"/>
        <v>194</v>
      </c>
      <c r="H13" s="307" t="s">
        <v>59</v>
      </c>
      <c r="I13" s="307" t="s">
        <v>59</v>
      </c>
      <c r="J13" s="307" t="s">
        <v>59</v>
      </c>
      <c r="K13" s="322" t="s">
        <v>100</v>
      </c>
      <c r="L13" s="323">
        <f t="shared" si="0"/>
        <v>1001</v>
      </c>
    </row>
    <row r="14" spans="2:12" s="20" customFormat="1" ht="12.75" customHeight="1">
      <c r="B14" s="83">
        <v>1990</v>
      </c>
      <c r="C14" s="285" t="s">
        <v>100</v>
      </c>
      <c r="D14" s="305">
        <v>90</v>
      </c>
      <c r="E14" s="305" t="s">
        <v>100</v>
      </c>
      <c r="F14" s="304">
        <f>425+292</f>
        <v>717</v>
      </c>
      <c r="G14" s="304">
        <f t="shared" si="1"/>
        <v>194</v>
      </c>
      <c r="H14" s="307" t="s">
        <v>59</v>
      </c>
      <c r="I14" s="307" t="s">
        <v>59</v>
      </c>
      <c r="J14" s="307" t="s">
        <v>59</v>
      </c>
      <c r="K14" s="322" t="s">
        <v>100</v>
      </c>
      <c r="L14" s="323">
        <f t="shared" si="0"/>
        <v>1001</v>
      </c>
    </row>
    <row r="15" spans="2:12" s="20" customFormat="1" ht="12.75" customHeight="1" hidden="1">
      <c r="B15" s="83">
        <v>1991</v>
      </c>
      <c r="C15" s="285" t="s">
        <v>100</v>
      </c>
      <c r="D15" s="305">
        <v>447</v>
      </c>
      <c r="E15" s="305" t="s">
        <v>100</v>
      </c>
      <c r="F15" s="304">
        <f>425+292</f>
        <v>717</v>
      </c>
      <c r="G15" s="304">
        <f t="shared" si="1"/>
        <v>194</v>
      </c>
      <c r="H15" s="307" t="s">
        <v>59</v>
      </c>
      <c r="I15" s="307" t="s">
        <v>59</v>
      </c>
      <c r="J15" s="307" t="s">
        <v>59</v>
      </c>
      <c r="K15" s="322" t="s">
        <v>100</v>
      </c>
      <c r="L15" s="323">
        <f t="shared" si="0"/>
        <v>1358</v>
      </c>
    </row>
    <row r="16" spans="2:12" s="20" customFormat="1" ht="12.75" customHeight="1" hidden="1">
      <c r="B16" s="83">
        <v>1992</v>
      </c>
      <c r="C16" s="285" t="s">
        <v>100</v>
      </c>
      <c r="D16" s="305">
        <v>447</v>
      </c>
      <c r="E16" s="305">
        <v>471</v>
      </c>
      <c r="F16" s="304">
        <f>425+292+122</f>
        <v>839</v>
      </c>
      <c r="G16" s="304">
        <f>122+52+20+44</f>
        <v>238</v>
      </c>
      <c r="H16" s="307" t="s">
        <v>59</v>
      </c>
      <c r="I16" s="307" t="s">
        <v>59</v>
      </c>
      <c r="J16" s="307" t="s">
        <v>59</v>
      </c>
      <c r="K16" s="322" t="s">
        <v>100</v>
      </c>
      <c r="L16" s="323">
        <f t="shared" si="0"/>
        <v>1995</v>
      </c>
    </row>
    <row r="17" spans="2:12" s="20" customFormat="1" ht="12.75" customHeight="1" hidden="1">
      <c r="B17" s="83">
        <v>1993</v>
      </c>
      <c r="C17" s="285" t="s">
        <v>100</v>
      </c>
      <c r="D17" s="305">
        <v>447</v>
      </c>
      <c r="E17" s="305">
        <v>471</v>
      </c>
      <c r="F17" s="304">
        <f>425+292+122</f>
        <v>839</v>
      </c>
      <c r="G17" s="304">
        <f aca="true" t="shared" si="2" ref="G17:G29">122+52+20+44</f>
        <v>238</v>
      </c>
      <c r="H17" s="307" t="s">
        <v>59</v>
      </c>
      <c r="I17" s="307" t="s">
        <v>59</v>
      </c>
      <c r="J17" s="307" t="s">
        <v>59</v>
      </c>
      <c r="K17" s="322" t="s">
        <v>100</v>
      </c>
      <c r="L17" s="323">
        <f t="shared" si="0"/>
        <v>1995</v>
      </c>
    </row>
    <row r="18" spans="2:12" s="20" customFormat="1" ht="12.75" customHeight="1" hidden="1">
      <c r="B18" s="83">
        <v>1994</v>
      </c>
      <c r="C18" s="285" t="s">
        <v>100</v>
      </c>
      <c r="D18" s="305">
        <v>447</v>
      </c>
      <c r="E18" s="305">
        <v>471</v>
      </c>
      <c r="F18" s="304">
        <f>425+292+122+346+105</f>
        <v>1290</v>
      </c>
      <c r="G18" s="304">
        <f t="shared" si="2"/>
        <v>238</v>
      </c>
      <c r="H18" s="307" t="s">
        <v>59</v>
      </c>
      <c r="I18" s="307" t="s">
        <v>59</v>
      </c>
      <c r="J18" s="307" t="s">
        <v>59</v>
      </c>
      <c r="K18" s="322" t="s">
        <v>100</v>
      </c>
      <c r="L18" s="323">
        <f t="shared" si="0"/>
        <v>2446</v>
      </c>
    </row>
    <row r="19" spans="2:12" s="20" customFormat="1" ht="12.75" customHeight="1">
      <c r="B19" s="83">
        <v>1995</v>
      </c>
      <c r="C19" s="285" t="s">
        <v>100</v>
      </c>
      <c r="D19" s="305">
        <v>447</v>
      </c>
      <c r="E19" s="305">
        <v>471</v>
      </c>
      <c r="F19" s="304">
        <f aca="true" t="shared" si="3" ref="F19:F24">425+292+122+346+105</f>
        <v>1290</v>
      </c>
      <c r="G19" s="304">
        <f t="shared" si="2"/>
        <v>238</v>
      </c>
      <c r="H19" s="307" t="s">
        <v>59</v>
      </c>
      <c r="I19" s="307" t="s">
        <v>59</v>
      </c>
      <c r="J19" s="307" t="s">
        <v>59</v>
      </c>
      <c r="K19" s="322" t="s">
        <v>100</v>
      </c>
      <c r="L19" s="323">
        <f t="shared" si="0"/>
        <v>2446</v>
      </c>
    </row>
    <row r="20" spans="2:12" s="20" customFormat="1" ht="12.75" customHeight="1" hidden="1">
      <c r="B20" s="83">
        <v>1996</v>
      </c>
      <c r="C20" s="285" t="s">
        <v>100</v>
      </c>
      <c r="D20" s="305">
        <v>447</v>
      </c>
      <c r="E20" s="305">
        <v>471</v>
      </c>
      <c r="F20" s="304">
        <f t="shared" si="3"/>
        <v>1290</v>
      </c>
      <c r="G20" s="304">
        <f t="shared" si="2"/>
        <v>238</v>
      </c>
      <c r="H20" s="307" t="s">
        <v>59</v>
      </c>
      <c r="I20" s="307" t="s">
        <v>59</v>
      </c>
      <c r="J20" s="307" t="s">
        <v>59</v>
      </c>
      <c r="K20" s="322" t="s">
        <v>100</v>
      </c>
      <c r="L20" s="323">
        <f t="shared" si="0"/>
        <v>2446</v>
      </c>
    </row>
    <row r="21" spans="2:12" s="20" customFormat="1" ht="12.75" customHeight="1" hidden="1">
      <c r="B21" s="83">
        <v>1997</v>
      </c>
      <c r="C21" s="285">
        <v>72</v>
      </c>
      <c r="D21" s="305">
        <v>447</v>
      </c>
      <c r="E21" s="305">
        <v>471</v>
      </c>
      <c r="F21" s="304">
        <f t="shared" si="3"/>
        <v>1290</v>
      </c>
      <c r="G21" s="304">
        <f t="shared" si="2"/>
        <v>238</v>
      </c>
      <c r="H21" s="307" t="s">
        <v>59</v>
      </c>
      <c r="I21" s="307" t="s">
        <v>59</v>
      </c>
      <c r="J21" s="307" t="s">
        <v>59</v>
      </c>
      <c r="K21" s="322" t="s">
        <v>100</v>
      </c>
      <c r="L21" s="323">
        <f t="shared" si="0"/>
        <v>2518</v>
      </c>
    </row>
    <row r="22" spans="2:12" s="20" customFormat="1" ht="12.75" customHeight="1" hidden="1">
      <c r="B22" s="83">
        <v>1998</v>
      </c>
      <c r="C22" s="285">
        <v>72</v>
      </c>
      <c r="D22" s="305">
        <f>447+189</f>
        <v>636</v>
      </c>
      <c r="E22" s="305">
        <v>471</v>
      </c>
      <c r="F22" s="304">
        <f t="shared" si="3"/>
        <v>1290</v>
      </c>
      <c r="G22" s="304">
        <f t="shared" si="2"/>
        <v>238</v>
      </c>
      <c r="H22" s="307" t="s">
        <v>59</v>
      </c>
      <c r="I22" s="307" t="s">
        <v>59</v>
      </c>
      <c r="J22" s="307" t="s">
        <v>59</v>
      </c>
      <c r="K22" s="322" t="s">
        <v>100</v>
      </c>
      <c r="L22" s="323">
        <f t="shared" si="0"/>
        <v>2707</v>
      </c>
    </row>
    <row r="23" spans="2:12" s="20" customFormat="1" ht="12.75" customHeight="1" hidden="1">
      <c r="B23" s="83">
        <v>1999</v>
      </c>
      <c r="C23" s="285">
        <v>72</v>
      </c>
      <c r="D23" s="305">
        <v>636</v>
      </c>
      <c r="E23" s="305">
        <v>471</v>
      </c>
      <c r="F23" s="304">
        <f t="shared" si="3"/>
        <v>1290</v>
      </c>
      <c r="G23" s="304">
        <f t="shared" si="2"/>
        <v>238</v>
      </c>
      <c r="H23" s="307" t="s">
        <v>59</v>
      </c>
      <c r="I23" s="307" t="s">
        <v>59</v>
      </c>
      <c r="J23" s="307" t="s">
        <v>59</v>
      </c>
      <c r="K23" s="322" t="s">
        <v>100</v>
      </c>
      <c r="L23" s="323">
        <f t="shared" si="0"/>
        <v>2707</v>
      </c>
    </row>
    <row r="24" spans="2:12" s="20" customFormat="1" ht="12.75" customHeight="1">
      <c r="B24" s="83">
        <v>2000</v>
      </c>
      <c r="C24" s="285">
        <v>72</v>
      </c>
      <c r="D24" s="305">
        <v>636</v>
      </c>
      <c r="E24" s="305">
        <v>471</v>
      </c>
      <c r="F24" s="304">
        <f t="shared" si="3"/>
        <v>1290</v>
      </c>
      <c r="G24" s="304">
        <f t="shared" si="2"/>
        <v>238</v>
      </c>
      <c r="H24" s="307" t="s">
        <v>59</v>
      </c>
      <c r="I24" s="307" t="s">
        <v>59</v>
      </c>
      <c r="J24" s="307" t="s">
        <v>59</v>
      </c>
      <c r="K24" s="322" t="s">
        <v>100</v>
      </c>
      <c r="L24" s="323">
        <f t="shared" si="0"/>
        <v>2707</v>
      </c>
    </row>
    <row r="25" spans="2:12" s="20" customFormat="1" ht="12.75" customHeight="1">
      <c r="B25" s="83">
        <v>2001</v>
      </c>
      <c r="C25" s="285">
        <v>72</v>
      </c>
      <c r="D25" s="305">
        <v>636</v>
      </c>
      <c r="E25" s="305">
        <v>471</v>
      </c>
      <c r="F25" s="304">
        <f aca="true" t="shared" si="4" ref="F25:F30">425+292+122+346+105+259</f>
        <v>1549</v>
      </c>
      <c r="G25" s="304">
        <f t="shared" si="2"/>
        <v>238</v>
      </c>
      <c r="H25" s="307" t="s">
        <v>59</v>
      </c>
      <c r="I25" s="307" t="s">
        <v>59</v>
      </c>
      <c r="J25" s="307" t="s">
        <v>59</v>
      </c>
      <c r="K25" s="322" t="s">
        <v>100</v>
      </c>
      <c r="L25" s="323">
        <f t="shared" si="0"/>
        <v>2966</v>
      </c>
    </row>
    <row r="26" spans="2:12" s="20" customFormat="1" ht="12.75" customHeight="1">
      <c r="B26" s="83">
        <v>2002</v>
      </c>
      <c r="C26" s="285">
        <f aca="true" t="shared" si="5" ref="C26:C32">72+65</f>
        <v>137</v>
      </c>
      <c r="D26" s="305">
        <f>636+184</f>
        <v>820</v>
      </c>
      <c r="E26" s="305">
        <v>471</v>
      </c>
      <c r="F26" s="304">
        <f t="shared" si="4"/>
        <v>1549</v>
      </c>
      <c r="G26" s="304">
        <f t="shared" si="2"/>
        <v>238</v>
      </c>
      <c r="H26" s="307" t="s">
        <v>59</v>
      </c>
      <c r="I26" s="307" t="s">
        <v>59</v>
      </c>
      <c r="J26" s="307" t="s">
        <v>59</v>
      </c>
      <c r="K26" s="322" t="s">
        <v>100</v>
      </c>
      <c r="L26" s="323">
        <f t="shared" si="0"/>
        <v>3215</v>
      </c>
    </row>
    <row r="27" spans="2:12" s="20" customFormat="1" ht="12.75" customHeight="1">
      <c r="B27" s="83">
        <v>2003</v>
      </c>
      <c r="C27" s="285">
        <f t="shared" si="5"/>
        <v>137</v>
      </c>
      <c r="D27" s="305">
        <f>820+42+24</f>
        <v>886</v>
      </c>
      <c r="E27" s="305">
        <v>919</v>
      </c>
      <c r="F27" s="304">
        <f t="shared" si="4"/>
        <v>1549</v>
      </c>
      <c r="G27" s="304">
        <f t="shared" si="2"/>
        <v>238</v>
      </c>
      <c r="H27" s="307" t="s">
        <v>59</v>
      </c>
      <c r="I27" s="307" t="s">
        <v>59</v>
      </c>
      <c r="J27" s="307" t="s">
        <v>59</v>
      </c>
      <c r="K27" s="322">
        <v>74</v>
      </c>
      <c r="L27" s="323">
        <f t="shared" si="0"/>
        <v>3803</v>
      </c>
    </row>
    <row r="28" spans="2:12" s="20" customFormat="1" ht="12.75" customHeight="1">
      <c r="B28" s="83">
        <v>2004</v>
      </c>
      <c r="C28" s="285">
        <f t="shared" si="5"/>
        <v>137</v>
      </c>
      <c r="D28" s="305">
        <f>886+44+253</f>
        <v>1183</v>
      </c>
      <c r="E28" s="305">
        <v>919</v>
      </c>
      <c r="F28" s="304">
        <f t="shared" si="4"/>
        <v>1549</v>
      </c>
      <c r="G28" s="304">
        <f t="shared" si="2"/>
        <v>238</v>
      </c>
      <c r="H28" s="307" t="s">
        <v>59</v>
      </c>
      <c r="I28" s="307" t="s">
        <v>59</v>
      </c>
      <c r="J28" s="307" t="s">
        <v>59</v>
      </c>
      <c r="K28" s="322">
        <v>74</v>
      </c>
      <c r="L28" s="323">
        <f t="shared" si="0"/>
        <v>4100</v>
      </c>
    </row>
    <row r="29" spans="2:12" s="20" customFormat="1" ht="12.75" customHeight="1">
      <c r="B29" s="83">
        <v>2005</v>
      </c>
      <c r="C29" s="285">
        <f t="shared" si="5"/>
        <v>137</v>
      </c>
      <c r="D29" s="305">
        <f>886+44+253</f>
        <v>1183</v>
      </c>
      <c r="E29" s="305">
        <v>919</v>
      </c>
      <c r="F29" s="304">
        <f t="shared" si="4"/>
        <v>1549</v>
      </c>
      <c r="G29" s="304">
        <f t="shared" si="2"/>
        <v>238</v>
      </c>
      <c r="H29" s="307" t="s">
        <v>59</v>
      </c>
      <c r="I29" s="307" t="s">
        <v>59</v>
      </c>
      <c r="J29" s="307" t="s">
        <v>59</v>
      </c>
      <c r="K29" s="322">
        <v>74</v>
      </c>
      <c r="L29" s="323">
        <f t="shared" si="0"/>
        <v>4100</v>
      </c>
    </row>
    <row r="30" spans="2:12" s="20" customFormat="1" ht="12.75" customHeight="1">
      <c r="B30" s="83">
        <v>2006</v>
      </c>
      <c r="C30" s="285">
        <f t="shared" si="5"/>
        <v>137</v>
      </c>
      <c r="D30" s="305">
        <f>1183+89</f>
        <v>1272</v>
      </c>
      <c r="E30" s="305">
        <v>1112</v>
      </c>
      <c r="F30" s="304">
        <f t="shared" si="4"/>
        <v>1549</v>
      </c>
      <c r="G30" s="304">
        <f>122+52+20+44+86</f>
        <v>324</v>
      </c>
      <c r="H30" s="307" t="s">
        <v>59</v>
      </c>
      <c r="I30" s="307" t="s">
        <v>59</v>
      </c>
      <c r="J30" s="307" t="s">
        <v>59</v>
      </c>
      <c r="K30" s="322">
        <v>74</v>
      </c>
      <c r="L30" s="323">
        <f t="shared" si="0"/>
        <v>4468</v>
      </c>
    </row>
    <row r="31" spans="2:12" s="20" customFormat="1" ht="12.75" customHeight="1">
      <c r="B31" s="83">
        <v>2007</v>
      </c>
      <c r="C31" s="285">
        <f t="shared" si="5"/>
        <v>137</v>
      </c>
      <c r="D31" s="305">
        <f>1183+89</f>
        <v>1272</v>
      </c>
      <c r="E31" s="305">
        <v>1348</v>
      </c>
      <c r="F31" s="304">
        <f>425+292+122+346+105+259+335</f>
        <v>1884</v>
      </c>
      <c r="G31" s="304">
        <f>122+52+20+44+86</f>
        <v>324</v>
      </c>
      <c r="H31" s="307" t="s">
        <v>59</v>
      </c>
      <c r="I31" s="307" t="s">
        <v>59</v>
      </c>
      <c r="J31" s="307" t="s">
        <v>59</v>
      </c>
      <c r="K31" s="322">
        <v>113</v>
      </c>
      <c r="L31" s="323">
        <f t="shared" si="0"/>
        <v>5078</v>
      </c>
    </row>
    <row r="32" spans="2:12" s="20" customFormat="1" ht="12.75" customHeight="1">
      <c r="B32" s="83">
        <v>2008</v>
      </c>
      <c r="C32" s="285">
        <f t="shared" si="5"/>
        <v>137</v>
      </c>
      <c r="D32" s="305">
        <f>1183+89</f>
        <v>1272</v>
      </c>
      <c r="E32" s="305">
        <v>1448</v>
      </c>
      <c r="F32" s="304">
        <f>425+292+122+346+105+259+335</f>
        <v>1884</v>
      </c>
      <c r="G32" s="304">
        <f>122+52+20+44+86+182+29</f>
        <v>535</v>
      </c>
      <c r="H32" s="307" t="s">
        <v>59</v>
      </c>
      <c r="I32" s="307" t="s">
        <v>59</v>
      </c>
      <c r="J32" s="307" t="s">
        <v>59</v>
      </c>
      <c r="K32" s="322">
        <v>113</v>
      </c>
      <c r="L32" s="323">
        <f t="shared" si="0"/>
        <v>5389</v>
      </c>
    </row>
    <row r="33" spans="2:12" s="20" customFormat="1" ht="12.75" customHeight="1">
      <c r="B33" s="83">
        <v>2009</v>
      </c>
      <c r="C33" s="285">
        <f>137+72</f>
        <v>209</v>
      </c>
      <c r="D33" s="305">
        <f>1183+89</f>
        <v>1272</v>
      </c>
      <c r="E33" s="305">
        <v>1448</v>
      </c>
      <c r="F33" s="304">
        <f>425+292+122+346+105+259+335</f>
        <v>1884</v>
      </c>
      <c r="G33" s="304">
        <f>122+52+20+44+86+182+29+205+38+78</f>
        <v>856</v>
      </c>
      <c r="H33" s="307">
        <v>120</v>
      </c>
      <c r="I33" s="307" t="s">
        <v>59</v>
      </c>
      <c r="J33" s="307" t="s">
        <v>59</v>
      </c>
      <c r="K33" s="322">
        <v>113</v>
      </c>
      <c r="L33" s="323">
        <f t="shared" si="0"/>
        <v>5902</v>
      </c>
    </row>
    <row r="34" spans="2:12" s="20" customFormat="1" ht="12.75" customHeight="1">
      <c r="B34" s="83">
        <v>2010</v>
      </c>
      <c r="C34" s="285">
        <f>137+72</f>
        <v>209</v>
      </c>
      <c r="D34" s="305">
        <f>1183+89</f>
        <v>1272</v>
      </c>
      <c r="E34" s="305">
        <v>1866</v>
      </c>
      <c r="F34" s="304">
        <f>425+292+122+346+105+259+335+28</f>
        <v>1912</v>
      </c>
      <c r="G34" s="304">
        <f aca="true" t="shared" si="6" ref="G34:G39">122+52+20+44+86+182+29+205+38+78</f>
        <v>856</v>
      </c>
      <c r="H34" s="307">
        <v>120</v>
      </c>
      <c r="I34" s="307" t="s">
        <v>59</v>
      </c>
      <c r="J34" s="307" t="s">
        <v>59</v>
      </c>
      <c r="K34" s="322">
        <v>113</v>
      </c>
      <c r="L34" s="323">
        <f t="shared" si="0"/>
        <v>6348</v>
      </c>
    </row>
    <row r="35" spans="2:12" s="20" customFormat="1" ht="12.75" customHeight="1">
      <c r="B35" s="83">
        <v>2011</v>
      </c>
      <c r="C35" s="285">
        <v>209</v>
      </c>
      <c r="D35" s="305">
        <f>1183+89+62</f>
        <v>1334</v>
      </c>
      <c r="E35" s="305">
        <v>2117</v>
      </c>
      <c r="F35" s="304">
        <f>425+292+122+346+105+259+335+28+146</f>
        <v>2058</v>
      </c>
      <c r="G35" s="304">
        <f t="shared" si="6"/>
        <v>856</v>
      </c>
      <c r="H35" s="307">
        <v>120</v>
      </c>
      <c r="I35" s="307" t="s">
        <v>59</v>
      </c>
      <c r="J35" s="307" t="s">
        <v>59</v>
      </c>
      <c r="K35" s="305">
        <v>113</v>
      </c>
      <c r="L35" s="323">
        <f aca="true" t="shared" si="7" ref="L35:L41">SUM(C35:K35)</f>
        <v>6807</v>
      </c>
    </row>
    <row r="36" spans="2:12" s="20" customFormat="1" ht="12.75" customHeight="1">
      <c r="B36" s="83">
        <v>2012</v>
      </c>
      <c r="C36" s="285">
        <v>209</v>
      </c>
      <c r="D36" s="305">
        <f>1334+18</f>
        <v>1352</v>
      </c>
      <c r="E36" s="305">
        <v>2117</v>
      </c>
      <c r="F36" s="304">
        <f>425+292+122+346+105+259+335+28+146</f>
        <v>2058</v>
      </c>
      <c r="G36" s="304">
        <f t="shared" si="6"/>
        <v>856</v>
      </c>
      <c r="H36" s="307">
        <v>120</v>
      </c>
      <c r="I36" s="307" t="s">
        <v>59</v>
      </c>
      <c r="J36" s="307" t="s">
        <v>59</v>
      </c>
      <c r="K36" s="305">
        <v>113</v>
      </c>
      <c r="L36" s="323">
        <f t="shared" si="7"/>
        <v>6825</v>
      </c>
    </row>
    <row r="37" spans="2:12" s="2" customFormat="1" ht="15" customHeight="1">
      <c r="B37" s="83">
        <v>2013</v>
      </c>
      <c r="C37" s="285">
        <v>209</v>
      </c>
      <c r="D37" s="305">
        <f>1334+18</f>
        <v>1352</v>
      </c>
      <c r="E37" s="305">
        <v>2413</v>
      </c>
      <c r="F37" s="304">
        <f>425+292+122+346+105+259+335+28+146</f>
        <v>2058</v>
      </c>
      <c r="G37" s="304">
        <f t="shared" si="6"/>
        <v>856</v>
      </c>
      <c r="H37" s="307">
        <v>120</v>
      </c>
      <c r="I37" s="307">
        <v>50</v>
      </c>
      <c r="J37" s="307" t="s">
        <v>59</v>
      </c>
      <c r="K37" s="305">
        <v>113</v>
      </c>
      <c r="L37" s="323">
        <f t="shared" si="7"/>
        <v>7171</v>
      </c>
    </row>
    <row r="38" spans="2:12" s="2" customFormat="1" ht="15" customHeight="1">
      <c r="B38" s="83">
        <v>2014</v>
      </c>
      <c r="C38" s="305">
        <v>209</v>
      </c>
      <c r="D38" s="305">
        <f>1334+18</f>
        <v>1352</v>
      </c>
      <c r="E38" s="305">
        <v>2413</v>
      </c>
      <c r="F38" s="304">
        <f>425+292+122+346+105+259+335+28+146</f>
        <v>2058</v>
      </c>
      <c r="G38" s="304">
        <f t="shared" si="6"/>
        <v>856</v>
      </c>
      <c r="H38" s="307">
        <v>120</v>
      </c>
      <c r="I38" s="307">
        <v>50</v>
      </c>
      <c r="J38" s="307" t="s">
        <v>59</v>
      </c>
      <c r="K38" s="305">
        <v>113</v>
      </c>
      <c r="L38" s="323">
        <f t="shared" si="7"/>
        <v>7171</v>
      </c>
    </row>
    <row r="39" spans="2:12" s="2" customFormat="1" ht="15" customHeight="1">
      <c r="B39" s="360">
        <v>2015</v>
      </c>
      <c r="C39" s="285">
        <v>209</v>
      </c>
      <c r="D39" s="305">
        <f>1334+18+123</f>
        <v>1475</v>
      </c>
      <c r="E39" s="305">
        <v>2413</v>
      </c>
      <c r="F39" s="304">
        <f>425+292+122+346+105+259+335+28+146</f>
        <v>2058</v>
      </c>
      <c r="G39" s="304">
        <f t="shared" si="6"/>
        <v>856</v>
      </c>
      <c r="H39" s="307">
        <v>120</v>
      </c>
      <c r="I39" s="307">
        <v>50</v>
      </c>
      <c r="J39" s="307">
        <v>224</v>
      </c>
      <c r="K39" s="322">
        <v>113</v>
      </c>
      <c r="L39" s="323">
        <f t="shared" si="7"/>
        <v>7518</v>
      </c>
    </row>
    <row r="40" spans="2:12" s="2" customFormat="1" ht="15" customHeight="1">
      <c r="B40" s="83">
        <v>2016</v>
      </c>
      <c r="C40" s="285">
        <v>209</v>
      </c>
      <c r="D40" s="305">
        <f>1334+18+123</f>
        <v>1475</v>
      </c>
      <c r="E40" s="305">
        <v>2413</v>
      </c>
      <c r="F40" s="304">
        <f>425+292+122+346+105+259+335+28+146+122</f>
        <v>2180</v>
      </c>
      <c r="G40" s="304">
        <f>122+52+20+44+86+182+29+205+38+78+40</f>
        <v>896</v>
      </c>
      <c r="H40" s="307">
        <v>120</v>
      </c>
      <c r="I40" s="307">
        <v>50</v>
      </c>
      <c r="J40" s="307">
        <v>224</v>
      </c>
      <c r="K40" s="305">
        <v>113</v>
      </c>
      <c r="L40" s="323">
        <f t="shared" si="7"/>
        <v>7680</v>
      </c>
    </row>
    <row r="41" spans="2:12" s="2" customFormat="1" ht="15" customHeight="1">
      <c r="B41" s="369">
        <v>2017</v>
      </c>
      <c r="C41" s="350">
        <v>209</v>
      </c>
      <c r="D41" s="324">
        <v>1658</v>
      </c>
      <c r="E41" s="324">
        <v>2413</v>
      </c>
      <c r="F41" s="325">
        <f>425+292+122+346+105+259+335+28+146+122+214+340</f>
        <v>2734</v>
      </c>
      <c r="G41" s="325">
        <f>122+52+20+44+86+182+29+205+38+78+40</f>
        <v>896</v>
      </c>
      <c r="H41" s="326">
        <v>120</v>
      </c>
      <c r="I41" s="326">
        <f>50+17</f>
        <v>67</v>
      </c>
      <c r="J41" s="326">
        <v>224</v>
      </c>
      <c r="K41" s="370">
        <v>113</v>
      </c>
      <c r="L41" s="327">
        <f t="shared" si="7"/>
        <v>8434</v>
      </c>
    </row>
    <row r="42" spans="2:12" s="2" customFormat="1" ht="24.75" customHeight="1">
      <c r="B42" s="425" t="s">
        <v>135</v>
      </c>
      <c r="C42" s="425"/>
      <c r="D42" s="425"/>
      <c r="E42" s="425"/>
      <c r="F42" s="425"/>
      <c r="G42" s="425"/>
      <c r="H42" s="425"/>
      <c r="I42" s="425"/>
      <c r="J42" s="425"/>
      <c r="K42" s="425"/>
      <c r="L42" s="425"/>
    </row>
    <row r="43" spans="2:12" s="2" customFormat="1" ht="17.25" customHeight="1">
      <c r="B43" s="425" t="s">
        <v>118</v>
      </c>
      <c r="C43" s="425"/>
      <c r="D43" s="425"/>
      <c r="E43" s="425"/>
      <c r="F43" s="425"/>
      <c r="G43" s="425"/>
      <c r="H43" s="425"/>
      <c r="I43" s="425"/>
      <c r="J43" s="425"/>
      <c r="K43" s="425"/>
      <c r="L43" s="425"/>
    </row>
    <row r="44" spans="1:12" ht="25.5" customHeight="1">
      <c r="A44" s="1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</row>
    <row r="45" spans="2:12" ht="16.5" customHeight="1">
      <c r="B45" s="426" t="s">
        <v>3</v>
      </c>
      <c r="C45" s="426"/>
      <c r="D45" s="426"/>
      <c r="E45" s="426"/>
      <c r="F45" s="426"/>
      <c r="G45" s="426"/>
      <c r="H45" s="426"/>
      <c r="I45" s="426"/>
      <c r="J45" s="426"/>
      <c r="K45" s="426"/>
      <c r="L45" s="426"/>
    </row>
    <row r="46" spans="2:12" ht="9.75" customHeight="1">
      <c r="B46" s="56"/>
      <c r="C46" s="420" t="s">
        <v>6</v>
      </c>
      <c r="D46" s="57"/>
      <c r="E46" s="57"/>
      <c r="F46" s="57"/>
      <c r="G46" s="351"/>
      <c r="H46" s="351"/>
      <c r="I46" s="351"/>
      <c r="J46" s="62"/>
      <c r="K46" s="58" t="s">
        <v>7</v>
      </c>
      <c r="L46" s="422" t="s">
        <v>95</v>
      </c>
    </row>
    <row r="47" spans="2:12" ht="12.75" customHeight="1">
      <c r="B47" s="59"/>
      <c r="C47" s="421"/>
      <c r="D47" s="60"/>
      <c r="E47" s="60"/>
      <c r="F47" s="60"/>
      <c r="G47" s="352"/>
      <c r="H47" s="352"/>
      <c r="I47" s="352"/>
      <c r="J47" s="63"/>
      <c r="K47" s="61" t="s">
        <v>8</v>
      </c>
      <c r="L47" s="423"/>
    </row>
    <row r="48" spans="2:12" ht="12.75" customHeight="1">
      <c r="B48" s="180" t="s">
        <v>41</v>
      </c>
      <c r="C48" s="181" t="s">
        <v>137</v>
      </c>
      <c r="D48" s="181"/>
      <c r="E48" s="182"/>
      <c r="F48" s="182"/>
      <c r="G48" s="181"/>
      <c r="H48" s="181"/>
      <c r="I48" s="181"/>
      <c r="J48" s="183"/>
      <c r="K48" s="184">
        <v>56</v>
      </c>
      <c r="L48" s="185">
        <v>2018</v>
      </c>
    </row>
    <row r="49" spans="2:12" ht="13.5" customHeight="1">
      <c r="B49" s="144" t="s">
        <v>46</v>
      </c>
      <c r="C49" s="19" t="s">
        <v>138</v>
      </c>
      <c r="D49" s="19"/>
      <c r="E49" s="27"/>
      <c r="F49" s="27"/>
      <c r="G49" s="19"/>
      <c r="H49" s="19"/>
      <c r="I49" s="19"/>
      <c r="J49" s="154"/>
      <c r="K49" s="155">
        <v>39</v>
      </c>
      <c r="L49" s="156">
        <v>2029</v>
      </c>
    </row>
    <row r="50" spans="2:12" ht="12.75" customHeight="1">
      <c r="B50" s="186" t="s">
        <v>46</v>
      </c>
      <c r="C50" s="187" t="s">
        <v>139</v>
      </c>
      <c r="D50" s="187"/>
      <c r="E50" s="188"/>
      <c r="F50" s="188"/>
      <c r="G50" s="187"/>
      <c r="H50" s="187"/>
      <c r="I50" s="187"/>
      <c r="J50" s="189"/>
      <c r="K50" s="190">
        <v>57</v>
      </c>
      <c r="L50" s="320">
        <v>2021</v>
      </c>
    </row>
    <row r="51" spans="2:12" ht="12.75" customHeight="1">
      <c r="B51" s="144" t="s">
        <v>46</v>
      </c>
      <c r="C51" s="19" t="s">
        <v>140</v>
      </c>
      <c r="D51" s="19"/>
      <c r="E51" s="27"/>
      <c r="F51" s="27"/>
      <c r="G51" s="19"/>
      <c r="H51" s="19"/>
      <c r="I51" s="19"/>
      <c r="J51" s="154"/>
      <c r="K51" s="155">
        <v>12</v>
      </c>
      <c r="L51" s="156">
        <v>2021</v>
      </c>
    </row>
    <row r="52" spans="2:12" ht="12.75" customHeight="1">
      <c r="B52" s="186" t="s">
        <v>46</v>
      </c>
      <c r="C52" s="187" t="s">
        <v>141</v>
      </c>
      <c r="D52" s="187"/>
      <c r="E52" s="188"/>
      <c r="F52" s="188"/>
      <c r="G52" s="187"/>
      <c r="H52" s="187"/>
      <c r="I52" s="187"/>
      <c r="J52" s="189"/>
      <c r="K52" s="190">
        <v>60</v>
      </c>
      <c r="L52" s="320">
        <v>2021</v>
      </c>
    </row>
    <row r="53" spans="2:12" ht="12.75" customHeight="1">
      <c r="B53" s="144" t="s">
        <v>46</v>
      </c>
      <c r="C53" s="19" t="s">
        <v>142</v>
      </c>
      <c r="D53" s="19"/>
      <c r="E53" s="27"/>
      <c r="F53" s="27"/>
      <c r="G53" s="19"/>
      <c r="H53" s="19"/>
      <c r="I53" s="19"/>
      <c r="J53" s="154"/>
      <c r="K53" s="155">
        <v>17</v>
      </c>
      <c r="L53" s="156">
        <v>2022</v>
      </c>
    </row>
    <row r="54" spans="2:12" ht="12.75" customHeight="1">
      <c r="B54" s="186" t="s">
        <v>47</v>
      </c>
      <c r="C54" s="187" t="s">
        <v>143</v>
      </c>
      <c r="D54" s="187"/>
      <c r="E54" s="188"/>
      <c r="F54" s="188"/>
      <c r="G54" s="187"/>
      <c r="H54" s="187"/>
      <c r="I54" s="187"/>
      <c r="J54" s="189"/>
      <c r="K54" s="190">
        <v>62</v>
      </c>
      <c r="L54" s="191">
        <v>2018</v>
      </c>
    </row>
    <row r="55" spans="2:12" ht="12.75" customHeight="1">
      <c r="B55" s="144" t="s">
        <v>47</v>
      </c>
      <c r="C55" s="19" t="s">
        <v>144</v>
      </c>
      <c r="D55" s="19"/>
      <c r="E55" s="27"/>
      <c r="F55" s="27"/>
      <c r="G55" s="19"/>
      <c r="H55" s="19"/>
      <c r="I55" s="19"/>
      <c r="J55" s="154"/>
      <c r="K55" s="155">
        <v>175</v>
      </c>
      <c r="L55" s="156">
        <v>2022</v>
      </c>
    </row>
    <row r="56" spans="2:12" ht="12.75" customHeight="1">
      <c r="B56" s="186" t="s">
        <v>47</v>
      </c>
      <c r="C56" s="187" t="s">
        <v>145</v>
      </c>
      <c r="D56" s="187"/>
      <c r="E56" s="188"/>
      <c r="F56" s="188"/>
      <c r="G56" s="187"/>
      <c r="H56" s="187"/>
      <c r="I56" s="187"/>
      <c r="J56" s="189"/>
      <c r="K56" s="190">
        <v>50</v>
      </c>
      <c r="L56" s="191">
        <v>2019</v>
      </c>
    </row>
    <row r="57" spans="2:12" ht="12.75" customHeight="1">
      <c r="B57" s="144" t="s">
        <v>47</v>
      </c>
      <c r="C57" s="19" t="s">
        <v>146</v>
      </c>
      <c r="D57" s="19"/>
      <c r="E57" s="27"/>
      <c r="F57" s="27"/>
      <c r="G57" s="19"/>
      <c r="H57" s="19"/>
      <c r="I57" s="19"/>
      <c r="J57" s="154"/>
      <c r="K57" s="155">
        <v>109</v>
      </c>
      <c r="L57" s="156">
        <v>2018</v>
      </c>
    </row>
    <row r="58" spans="2:12" ht="12.75" customHeight="1">
      <c r="B58" s="186" t="s">
        <v>47</v>
      </c>
      <c r="C58" s="187" t="s">
        <v>147</v>
      </c>
      <c r="D58" s="187"/>
      <c r="E58" s="188"/>
      <c r="F58" s="188"/>
      <c r="G58" s="192"/>
      <c r="H58" s="192"/>
      <c r="I58" s="192"/>
      <c r="J58" s="354"/>
      <c r="K58" s="190">
        <v>193</v>
      </c>
      <c r="L58" s="191">
        <v>2019</v>
      </c>
    </row>
    <row r="59" spans="2:12" ht="12.75" customHeight="1">
      <c r="B59" s="144" t="s">
        <v>47</v>
      </c>
      <c r="C59" s="19" t="s">
        <v>148</v>
      </c>
      <c r="D59" s="3"/>
      <c r="E59" s="3"/>
      <c r="F59" s="3"/>
      <c r="G59" s="3"/>
      <c r="H59" s="3"/>
      <c r="I59" s="3"/>
      <c r="J59" s="353"/>
      <c r="K59" s="155">
        <v>91</v>
      </c>
      <c r="L59" s="156">
        <v>2018</v>
      </c>
    </row>
    <row r="60" spans="2:12" ht="12.75" customHeight="1">
      <c r="B60" s="186" t="s">
        <v>47</v>
      </c>
      <c r="C60" s="187" t="s">
        <v>149</v>
      </c>
      <c r="D60" s="192"/>
      <c r="E60" s="192"/>
      <c r="F60" s="192"/>
      <c r="G60" s="192"/>
      <c r="H60" s="192"/>
      <c r="I60" s="192"/>
      <c r="J60" s="354"/>
      <c r="K60" s="190">
        <v>224</v>
      </c>
      <c r="L60" s="191">
        <v>2019</v>
      </c>
    </row>
    <row r="61" spans="2:12" ht="12.75" customHeight="1">
      <c r="B61" s="144" t="s">
        <v>48</v>
      </c>
      <c r="C61" s="19" t="s">
        <v>150</v>
      </c>
      <c r="D61" s="19"/>
      <c r="E61" s="27"/>
      <c r="F61" s="27"/>
      <c r="G61" s="19"/>
      <c r="H61" s="19"/>
      <c r="I61" s="19"/>
      <c r="J61" s="154"/>
      <c r="K61" s="155">
        <v>80</v>
      </c>
      <c r="L61" s="156">
        <v>2018</v>
      </c>
    </row>
    <row r="62" spans="2:12" ht="15" customHeight="1">
      <c r="B62" s="186" t="s">
        <v>50</v>
      </c>
      <c r="C62" s="187" t="s">
        <v>151</v>
      </c>
      <c r="D62" s="187"/>
      <c r="E62" s="188"/>
      <c r="F62" s="188"/>
      <c r="G62" s="187"/>
      <c r="H62" s="187"/>
      <c r="I62" s="187"/>
      <c r="J62" s="189"/>
      <c r="K62" s="190">
        <v>53</v>
      </c>
      <c r="L62" s="320">
        <v>2020</v>
      </c>
    </row>
    <row r="63" spans="2:12" ht="15" customHeight="1">
      <c r="B63" s="144" t="s">
        <v>52</v>
      </c>
      <c r="C63" s="19" t="s">
        <v>152</v>
      </c>
      <c r="D63" s="3"/>
      <c r="E63" s="3"/>
      <c r="F63" s="3"/>
      <c r="G63" s="19"/>
      <c r="H63" s="19"/>
      <c r="I63" s="19"/>
      <c r="J63" s="154"/>
      <c r="K63" s="155">
        <v>122</v>
      </c>
      <c r="L63" s="156">
        <v>2025</v>
      </c>
    </row>
    <row r="64" spans="2:12" ht="15" customHeight="1">
      <c r="B64" s="186" t="s">
        <v>52</v>
      </c>
      <c r="C64" s="187" t="s">
        <v>153</v>
      </c>
      <c r="D64" s="192"/>
      <c r="E64" s="192"/>
      <c r="F64" s="192"/>
      <c r="G64" s="187"/>
      <c r="H64" s="187"/>
      <c r="I64" s="187"/>
      <c r="J64" s="189"/>
      <c r="K64" s="190">
        <v>46</v>
      </c>
      <c r="L64" s="320">
        <v>2027</v>
      </c>
    </row>
    <row r="65" spans="2:12" ht="15" customHeight="1">
      <c r="B65" s="371" t="s">
        <v>44</v>
      </c>
      <c r="C65" s="372" t="s">
        <v>154</v>
      </c>
      <c r="D65" s="35"/>
      <c r="E65" s="35"/>
      <c r="F65" s="35"/>
      <c r="G65" s="372"/>
      <c r="H65" s="372"/>
      <c r="I65" s="372"/>
      <c r="J65" s="372"/>
      <c r="K65" s="373">
        <v>230</v>
      </c>
      <c r="L65" s="374">
        <v>2026</v>
      </c>
    </row>
    <row r="66" spans="2:12" ht="15" customHeight="1">
      <c r="B66" s="398" t="s">
        <v>136</v>
      </c>
      <c r="C66" s="398"/>
      <c r="D66" s="398"/>
      <c r="E66" s="398"/>
      <c r="F66" s="398"/>
      <c r="G66" s="398"/>
      <c r="H66" s="398"/>
      <c r="I66" s="398"/>
      <c r="J66" s="398"/>
      <c r="K66" s="398"/>
      <c r="L66" s="398"/>
    </row>
    <row r="67" spans="2:12" ht="26.25" customHeight="1">
      <c r="B67" s="410" t="s">
        <v>119</v>
      </c>
      <c r="C67" s="410"/>
      <c r="D67" s="410"/>
      <c r="E67" s="410"/>
      <c r="F67" s="410"/>
      <c r="G67" s="410"/>
      <c r="H67" s="410"/>
      <c r="I67" s="410"/>
      <c r="J67" s="410"/>
      <c r="K67" s="410"/>
      <c r="L67" s="410"/>
    </row>
    <row r="68" spans="2:12" ht="15" customHeight="1">
      <c r="B68" s="424"/>
      <c r="C68" s="424"/>
      <c r="D68" s="424"/>
      <c r="E68" s="424"/>
      <c r="F68" s="424"/>
      <c r="G68" s="424"/>
      <c r="H68" s="424"/>
      <c r="I68" s="424"/>
      <c r="J68" s="424"/>
      <c r="K68" s="424"/>
      <c r="L68" s="424"/>
    </row>
    <row r="69" spans="2:12" ht="25.5" customHeight="1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2:12" ht="15" customHeight="1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</row>
    <row r="71" spans="2:12" ht="25.5" customHeight="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ht="24.75" customHeight="1"/>
    <row r="73" ht="11.25" customHeight="1"/>
    <row r="74" ht="11.25" customHeight="1"/>
    <row r="75" ht="12.75" customHeight="1"/>
  </sheetData>
  <sheetProtection/>
  <mergeCells count="12">
    <mergeCell ref="B68:L68"/>
    <mergeCell ref="B42:L42"/>
    <mergeCell ref="B43:L43"/>
    <mergeCell ref="B67:L67"/>
    <mergeCell ref="B45:L45"/>
    <mergeCell ref="B66:L66"/>
    <mergeCell ref="B1:C1"/>
    <mergeCell ref="B2:L2"/>
    <mergeCell ref="B3:L3"/>
    <mergeCell ref="B4:L4"/>
    <mergeCell ref="C46:C47"/>
    <mergeCell ref="L46:L47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7">
      <selection activeCell="Q23" sqref="Q23"/>
    </sheetView>
  </sheetViews>
  <sheetFormatPr defaultColWidth="9.140625" defaultRowHeight="12.75"/>
  <cols>
    <col min="1" max="1" width="3.7109375" style="0" customWidth="1"/>
    <col min="2" max="2" width="5.7109375" style="0" customWidth="1"/>
    <col min="3" max="3" width="0.85546875" style="0" customWidth="1"/>
    <col min="4" max="4" width="9.28125" style="0" customWidth="1"/>
    <col min="5" max="5" width="12.7109375" style="0" customWidth="1"/>
    <col min="6" max="7" width="8.7109375" style="0" customWidth="1"/>
  </cols>
  <sheetData>
    <row r="1" spans="2:7" ht="14.25" customHeight="1">
      <c r="B1" s="33"/>
      <c r="G1" s="16" t="s">
        <v>111</v>
      </c>
    </row>
    <row r="2" spans="2:7" ht="14.25" customHeight="1">
      <c r="B2" s="430" t="s">
        <v>9</v>
      </c>
      <c r="C2" s="430"/>
      <c r="D2" s="430"/>
      <c r="E2" s="430"/>
      <c r="F2" s="430"/>
      <c r="G2" s="430"/>
    </row>
    <row r="3" spans="2:7" ht="19.5" customHeight="1">
      <c r="B3" s="431" t="s">
        <v>10</v>
      </c>
      <c r="C3" s="431"/>
      <c r="D3" s="431"/>
      <c r="E3" s="431"/>
      <c r="F3" s="431"/>
      <c r="G3" s="431"/>
    </row>
    <row r="4" spans="2:7" ht="9.75" customHeight="1">
      <c r="B4" s="136"/>
      <c r="C4" s="136"/>
      <c r="D4" s="136"/>
      <c r="E4" s="136"/>
      <c r="F4" s="136"/>
      <c r="G4" s="136"/>
    </row>
    <row r="5" spans="2:7" ht="28.5" customHeight="1">
      <c r="B5" s="21"/>
      <c r="C5" s="73"/>
      <c r="D5" s="74" t="s">
        <v>11</v>
      </c>
      <c r="E5" s="435" t="s">
        <v>12</v>
      </c>
      <c r="F5" s="436"/>
      <c r="G5" s="437"/>
    </row>
    <row r="6" spans="2:7" ht="15.75" customHeight="1">
      <c r="B6" s="21"/>
      <c r="C6" s="75"/>
      <c r="D6" s="76" t="s">
        <v>13</v>
      </c>
      <c r="E6" s="125" t="s">
        <v>14</v>
      </c>
      <c r="F6" s="433" t="s">
        <v>15</v>
      </c>
      <c r="G6" s="434"/>
    </row>
    <row r="7" spans="1:7" ht="12" customHeight="1">
      <c r="A7" s="29"/>
      <c r="B7" s="141" t="s">
        <v>45</v>
      </c>
      <c r="C7" s="64"/>
      <c r="D7" s="65">
        <v>1435</v>
      </c>
      <c r="E7" s="107">
        <v>3000</v>
      </c>
      <c r="F7" s="108">
        <v>25000</v>
      </c>
      <c r="G7" s="97" t="s">
        <v>70</v>
      </c>
    </row>
    <row r="8" spans="1:7" ht="12" customHeight="1">
      <c r="A8" s="29"/>
      <c r="B8" s="84" t="s">
        <v>28</v>
      </c>
      <c r="C8" s="91"/>
      <c r="D8" s="92">
        <v>1435</v>
      </c>
      <c r="E8" s="109"/>
      <c r="F8" s="110">
        <v>25000</v>
      </c>
      <c r="G8" s="98" t="s">
        <v>70</v>
      </c>
    </row>
    <row r="9" spans="1:7" ht="12" customHeight="1">
      <c r="A9" s="29"/>
      <c r="B9" s="142" t="s">
        <v>30</v>
      </c>
      <c r="C9" s="66"/>
      <c r="D9" s="67">
        <v>1435</v>
      </c>
      <c r="E9" s="111">
        <v>3000</v>
      </c>
      <c r="F9" s="112">
        <v>25000</v>
      </c>
      <c r="G9" s="99" t="s">
        <v>4</v>
      </c>
    </row>
    <row r="10" spans="1:7" ht="12" customHeight="1">
      <c r="A10" s="29"/>
      <c r="B10" s="85" t="s">
        <v>41</v>
      </c>
      <c r="C10" s="93"/>
      <c r="D10" s="94">
        <v>1435</v>
      </c>
      <c r="E10" s="113">
        <v>3000</v>
      </c>
      <c r="F10" s="114">
        <v>25000</v>
      </c>
      <c r="G10" s="100" t="s">
        <v>70</v>
      </c>
    </row>
    <row r="11" spans="1:7" ht="12" customHeight="1">
      <c r="A11" s="29"/>
      <c r="B11" s="11" t="s">
        <v>46</v>
      </c>
      <c r="C11" s="30"/>
      <c r="D11" s="26">
        <v>1435</v>
      </c>
      <c r="E11" s="115" t="s">
        <v>16</v>
      </c>
      <c r="F11" s="116">
        <v>15000</v>
      </c>
      <c r="G11" s="101" t="s">
        <v>69</v>
      </c>
    </row>
    <row r="12" spans="1:7" ht="10.5" customHeight="1">
      <c r="A12" s="29"/>
      <c r="B12" s="142"/>
      <c r="C12" s="66"/>
      <c r="D12" s="67"/>
      <c r="E12" s="111" t="s">
        <v>17</v>
      </c>
      <c r="F12" s="112"/>
      <c r="G12" s="99"/>
    </row>
    <row r="13" spans="1:7" ht="12" customHeight="1">
      <c r="A13" s="29"/>
      <c r="B13" s="85" t="s">
        <v>31</v>
      </c>
      <c r="C13" s="93"/>
      <c r="D13" s="94">
        <v>1520</v>
      </c>
      <c r="E13" s="113">
        <v>3000</v>
      </c>
      <c r="F13" s="114"/>
      <c r="G13" s="100"/>
    </row>
    <row r="14" spans="1:7" ht="12" customHeight="1">
      <c r="A14" s="29"/>
      <c r="B14" s="143" t="s">
        <v>49</v>
      </c>
      <c r="C14" s="68"/>
      <c r="D14" s="69">
        <v>1600</v>
      </c>
      <c r="E14" s="117">
        <v>1500</v>
      </c>
      <c r="F14" s="118"/>
      <c r="G14" s="102"/>
    </row>
    <row r="15" spans="1:7" ht="12" customHeight="1">
      <c r="A15" s="29"/>
      <c r="B15" s="86" t="s">
        <v>42</v>
      </c>
      <c r="C15" s="95"/>
      <c r="D15" s="96">
        <v>600</v>
      </c>
      <c r="E15" s="119"/>
      <c r="F15" s="120"/>
      <c r="G15" s="103"/>
    </row>
    <row r="16" spans="1:7" ht="12" customHeight="1">
      <c r="A16" s="29"/>
      <c r="B16" s="86"/>
      <c r="C16" s="95"/>
      <c r="D16" s="96">
        <v>1000</v>
      </c>
      <c r="E16" s="119"/>
      <c r="F16" s="120"/>
      <c r="G16" s="103"/>
    </row>
    <row r="17" spans="1:7" ht="12" customHeight="1">
      <c r="A17" s="29"/>
      <c r="B17" s="84"/>
      <c r="C17" s="91"/>
      <c r="D17" s="92">
        <v>1435</v>
      </c>
      <c r="E17" s="109"/>
      <c r="F17" s="110">
        <v>25000</v>
      </c>
      <c r="G17" s="98" t="s">
        <v>70</v>
      </c>
    </row>
    <row r="18" spans="1:7" ht="12" customHeight="1">
      <c r="A18" s="29"/>
      <c r="B18" s="11" t="s">
        <v>18</v>
      </c>
      <c r="C18" s="30"/>
      <c r="D18" s="26">
        <v>1000</v>
      </c>
      <c r="E18" s="115">
        <v>1500</v>
      </c>
      <c r="F18" s="116"/>
      <c r="G18" s="101"/>
    </row>
    <row r="19" spans="1:7" ht="12" customHeight="1">
      <c r="A19" s="29"/>
      <c r="B19" s="11"/>
      <c r="C19" s="30"/>
      <c r="D19" s="26">
        <v>1435</v>
      </c>
      <c r="E19" s="115"/>
      <c r="F19" s="116">
        <v>25000</v>
      </c>
      <c r="G19" s="101" t="s">
        <v>70</v>
      </c>
    </row>
    <row r="20" spans="1:7" ht="12" customHeight="1">
      <c r="A20" s="29"/>
      <c r="B20" s="142"/>
      <c r="C20" s="66"/>
      <c r="D20" s="67">
        <v>1668</v>
      </c>
      <c r="E20" s="111">
        <v>3000</v>
      </c>
      <c r="F20" s="112"/>
      <c r="G20" s="99"/>
    </row>
    <row r="21" spans="1:7" ht="12" customHeight="1">
      <c r="A21" s="29"/>
      <c r="B21" s="86" t="s">
        <v>48</v>
      </c>
      <c r="C21" s="95"/>
      <c r="D21" s="96">
        <v>1000</v>
      </c>
      <c r="E21" s="119" t="s">
        <v>19</v>
      </c>
      <c r="F21" s="120"/>
      <c r="G21" s="103"/>
    </row>
    <row r="22" spans="1:7" ht="10.5" customHeight="1">
      <c r="A22" s="29"/>
      <c r="B22" s="86"/>
      <c r="C22" s="95"/>
      <c r="D22" s="96"/>
      <c r="E22" s="119" t="s">
        <v>17</v>
      </c>
      <c r="F22" s="120"/>
      <c r="G22" s="103"/>
    </row>
    <row r="23" spans="1:7" ht="12" customHeight="1">
      <c r="A23" s="29"/>
      <c r="B23" s="86"/>
      <c r="C23" s="95"/>
      <c r="D23" s="92">
        <v>1435</v>
      </c>
      <c r="E23" s="109">
        <v>1500</v>
      </c>
      <c r="F23" s="110">
        <v>25000</v>
      </c>
      <c r="G23" s="98" t="s">
        <v>70</v>
      </c>
    </row>
    <row r="24" spans="1:7" ht="12" customHeight="1">
      <c r="A24" s="29"/>
      <c r="B24" s="10" t="s">
        <v>60</v>
      </c>
      <c r="C24" s="30"/>
      <c r="D24" s="69">
        <v>1435</v>
      </c>
      <c r="E24" s="117">
        <v>3000</v>
      </c>
      <c r="F24" s="118">
        <v>25000</v>
      </c>
      <c r="G24" s="102" t="s">
        <v>70</v>
      </c>
    </row>
    <row r="25" spans="1:7" ht="12" customHeight="1">
      <c r="A25" s="29"/>
      <c r="B25" s="240" t="s">
        <v>50</v>
      </c>
      <c r="C25" s="273"/>
      <c r="D25" s="242">
        <v>1435</v>
      </c>
      <c r="E25" s="243">
        <v>3000</v>
      </c>
      <c r="F25" s="244">
        <v>25000</v>
      </c>
      <c r="G25" s="245" t="s">
        <v>70</v>
      </c>
    </row>
    <row r="26" spans="1:7" ht="9.75" customHeight="1">
      <c r="A26" s="29"/>
      <c r="B26" s="143" t="s">
        <v>29</v>
      </c>
      <c r="C26" s="68"/>
      <c r="D26" s="70" t="s">
        <v>59</v>
      </c>
      <c r="E26" s="121" t="s">
        <v>59</v>
      </c>
      <c r="F26" s="122" t="s">
        <v>59</v>
      </c>
      <c r="G26" s="104" t="s">
        <v>59</v>
      </c>
    </row>
    <row r="27" spans="1:7" ht="12" customHeight="1">
      <c r="A27" s="29"/>
      <c r="B27" s="246" t="s">
        <v>33</v>
      </c>
      <c r="C27" s="241"/>
      <c r="D27" s="242">
        <v>1520</v>
      </c>
      <c r="E27" s="243">
        <v>3000</v>
      </c>
      <c r="F27" s="247"/>
      <c r="G27" s="248"/>
    </row>
    <row r="28" spans="1:7" ht="12" customHeight="1">
      <c r="A28" s="29"/>
      <c r="B28" s="143" t="s">
        <v>34</v>
      </c>
      <c r="C28" s="68"/>
      <c r="D28" s="69">
        <v>1520</v>
      </c>
      <c r="E28" s="117"/>
      <c r="F28" s="118">
        <v>25000</v>
      </c>
      <c r="G28" s="102" t="s">
        <v>70</v>
      </c>
    </row>
    <row r="29" spans="1:7" ht="12" customHeight="1">
      <c r="A29" s="29"/>
      <c r="B29" s="246" t="s">
        <v>51</v>
      </c>
      <c r="C29" s="241"/>
      <c r="D29" s="242">
        <v>1435</v>
      </c>
      <c r="E29" s="243"/>
      <c r="F29" s="247">
        <v>25000</v>
      </c>
      <c r="G29" s="248" t="s">
        <v>70</v>
      </c>
    </row>
    <row r="30" spans="1:7" ht="12" customHeight="1">
      <c r="A30" s="29"/>
      <c r="B30" s="143" t="s">
        <v>32</v>
      </c>
      <c r="C30" s="68"/>
      <c r="D30" s="69">
        <v>1435</v>
      </c>
      <c r="E30" s="117"/>
      <c r="F30" s="118">
        <v>25000</v>
      </c>
      <c r="G30" s="102" t="s">
        <v>70</v>
      </c>
    </row>
    <row r="31" spans="1:7" ht="9.75" customHeight="1">
      <c r="A31" s="29"/>
      <c r="B31" s="246" t="s">
        <v>35</v>
      </c>
      <c r="C31" s="241"/>
      <c r="D31" s="249" t="s">
        <v>59</v>
      </c>
      <c r="E31" s="250" t="s">
        <v>59</v>
      </c>
      <c r="F31" s="251" t="s">
        <v>59</v>
      </c>
      <c r="G31" s="252" t="s">
        <v>59</v>
      </c>
    </row>
    <row r="32" spans="1:7" ht="12" customHeight="1">
      <c r="A32" s="29"/>
      <c r="B32" s="143" t="s">
        <v>43</v>
      </c>
      <c r="C32" s="68"/>
      <c r="D32" s="69">
        <v>1435</v>
      </c>
      <c r="E32" s="117">
        <v>1500</v>
      </c>
      <c r="F32" s="118"/>
      <c r="G32" s="102"/>
    </row>
    <row r="33" spans="1:7" ht="12" customHeight="1">
      <c r="A33" s="29"/>
      <c r="B33" s="246" t="s">
        <v>52</v>
      </c>
      <c r="C33" s="241"/>
      <c r="D33" s="242">
        <v>1435</v>
      </c>
      <c r="E33" s="243"/>
      <c r="F33" s="247">
        <v>15000</v>
      </c>
      <c r="G33" s="248" t="s">
        <v>69</v>
      </c>
    </row>
    <row r="34" spans="1:7" ht="12" customHeight="1">
      <c r="A34" s="8"/>
      <c r="B34" s="143" t="s">
        <v>36</v>
      </c>
      <c r="C34" s="68"/>
      <c r="D34" s="69">
        <v>1435</v>
      </c>
      <c r="E34" s="117">
        <v>3000</v>
      </c>
      <c r="F34" s="118"/>
      <c r="G34" s="102"/>
    </row>
    <row r="35" spans="1:7" ht="12" customHeight="1">
      <c r="A35" s="8"/>
      <c r="B35" s="253" t="s">
        <v>53</v>
      </c>
      <c r="C35" s="254"/>
      <c r="D35" s="255">
        <v>1000</v>
      </c>
      <c r="E35" s="256"/>
      <c r="F35" s="257"/>
      <c r="G35" s="258"/>
    </row>
    <row r="36" spans="1:7" ht="12" customHeight="1">
      <c r="A36" s="8"/>
      <c r="B36" s="142"/>
      <c r="C36" s="66"/>
      <c r="D36" s="67">
        <v>1668</v>
      </c>
      <c r="E36" s="111"/>
      <c r="F36" s="112">
        <v>25000</v>
      </c>
      <c r="G36" s="99" t="s">
        <v>70</v>
      </c>
    </row>
    <row r="37" spans="1:7" ht="12" customHeight="1">
      <c r="A37" s="8"/>
      <c r="B37" s="259" t="s">
        <v>37</v>
      </c>
      <c r="C37" s="260"/>
      <c r="D37" s="261">
        <v>1435</v>
      </c>
      <c r="E37" s="262"/>
      <c r="F37" s="244">
        <v>25000</v>
      </c>
      <c r="G37" s="245" t="s">
        <v>70</v>
      </c>
    </row>
    <row r="38" spans="1:7" ht="12" customHeight="1">
      <c r="A38" s="8"/>
      <c r="B38" s="143" t="s">
        <v>39</v>
      </c>
      <c r="C38" s="68"/>
      <c r="D38" s="69">
        <v>1435</v>
      </c>
      <c r="E38" s="117">
        <v>3000</v>
      </c>
      <c r="F38" s="118"/>
      <c r="G38" s="102"/>
    </row>
    <row r="39" spans="1:7" ht="12" customHeight="1">
      <c r="A39" s="8"/>
      <c r="B39" s="246" t="s">
        <v>38</v>
      </c>
      <c r="C39" s="241"/>
      <c r="D39" s="242">
        <v>1435</v>
      </c>
      <c r="E39" s="243">
        <v>3000</v>
      </c>
      <c r="F39" s="247">
        <v>25000</v>
      </c>
      <c r="G39" s="248" t="s">
        <v>70</v>
      </c>
    </row>
    <row r="40" spans="1:7" ht="12" customHeight="1">
      <c r="A40" s="8"/>
      <c r="B40" s="143" t="s">
        <v>54</v>
      </c>
      <c r="C40" s="68"/>
      <c r="D40" s="69">
        <v>1524</v>
      </c>
      <c r="E40" s="117"/>
      <c r="F40" s="118">
        <v>25000</v>
      </c>
      <c r="G40" s="102" t="s">
        <v>70</v>
      </c>
    </row>
    <row r="41" spans="1:7" ht="12" customHeight="1">
      <c r="A41" s="8"/>
      <c r="B41" s="246" t="s">
        <v>55</v>
      </c>
      <c r="C41" s="241"/>
      <c r="D41" s="242">
        <v>1435</v>
      </c>
      <c r="E41" s="243"/>
      <c r="F41" s="247">
        <v>15000</v>
      </c>
      <c r="G41" s="248" t="s">
        <v>69</v>
      </c>
    </row>
    <row r="42" spans="1:7" ht="12" customHeight="1">
      <c r="A42" s="8"/>
      <c r="B42" s="438" t="s">
        <v>44</v>
      </c>
      <c r="C42" s="30"/>
      <c r="D42" s="26">
        <v>1435</v>
      </c>
      <c r="E42" s="115">
        <v>750</v>
      </c>
      <c r="F42" s="116">
        <v>25000</v>
      </c>
      <c r="G42" s="101" t="s">
        <v>70</v>
      </c>
    </row>
    <row r="43" spans="2:7" ht="10.5" customHeight="1">
      <c r="B43" s="439"/>
      <c r="C43" s="30"/>
      <c r="D43" s="71">
        <v>1600</v>
      </c>
      <c r="E43" s="115" t="s">
        <v>17</v>
      </c>
      <c r="F43" s="116"/>
      <c r="G43" s="105"/>
    </row>
    <row r="44" spans="2:7" ht="10.5" customHeight="1">
      <c r="B44" s="439"/>
      <c r="C44" s="30"/>
      <c r="D44" s="72" t="s">
        <v>20</v>
      </c>
      <c r="E44" s="123"/>
      <c r="F44" s="124"/>
      <c r="G44" s="106"/>
    </row>
    <row r="45" spans="2:7" ht="24.75" customHeight="1">
      <c r="B45" s="399" t="s">
        <v>99</v>
      </c>
      <c r="C45" s="399"/>
      <c r="D45" s="399"/>
      <c r="E45" s="399"/>
      <c r="F45" s="399"/>
      <c r="G45" s="399"/>
    </row>
    <row r="46" spans="2:6" ht="12.75" customHeight="1">
      <c r="B46" s="432" t="s">
        <v>98</v>
      </c>
      <c r="C46" s="432"/>
      <c r="D46" s="432"/>
      <c r="E46" s="432"/>
      <c r="F46" s="432"/>
    </row>
    <row r="47" spans="2:7" ht="24.75" customHeight="1">
      <c r="B47" s="429" t="s">
        <v>97</v>
      </c>
      <c r="C47" s="429"/>
      <c r="D47" s="429"/>
      <c r="E47" s="429"/>
      <c r="F47" s="429"/>
      <c r="G47" s="429"/>
    </row>
    <row r="48" spans="2:7" ht="12.75" customHeight="1">
      <c r="B48" s="427" t="s">
        <v>96</v>
      </c>
      <c r="C48" s="428"/>
      <c r="D48" s="428"/>
      <c r="E48" s="428"/>
      <c r="F48" s="428"/>
      <c r="G48" s="428"/>
    </row>
  </sheetData>
  <sheetProtection/>
  <mergeCells count="9">
    <mergeCell ref="B48:G48"/>
    <mergeCell ref="B47:G47"/>
    <mergeCell ref="B2:G2"/>
    <mergeCell ref="B3:G3"/>
    <mergeCell ref="B46:F46"/>
    <mergeCell ref="F6:G6"/>
    <mergeCell ref="E5:G5"/>
    <mergeCell ref="B45:G45"/>
    <mergeCell ref="B42:B4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S27" sqref="A26:S27"/>
    </sheetView>
  </sheetViews>
  <sheetFormatPr defaultColWidth="9.140625" defaultRowHeight="12.75"/>
  <cols>
    <col min="1" max="1" width="3.8515625" style="0" customWidth="1"/>
    <col min="2" max="2" width="4.8515625" style="0" customWidth="1"/>
    <col min="3" max="8" width="8.7109375" style="0" customWidth="1"/>
    <col min="9" max="9" width="4.8515625" style="0" customWidth="1"/>
  </cols>
  <sheetData>
    <row r="1" spans="1:9" ht="14.25" customHeight="1">
      <c r="A1" s="1"/>
      <c r="B1" s="397"/>
      <c r="C1" s="397"/>
      <c r="D1" s="28"/>
      <c r="E1" s="25"/>
      <c r="F1" s="25"/>
      <c r="G1" s="25"/>
      <c r="I1" s="18" t="s">
        <v>112</v>
      </c>
    </row>
    <row r="2" spans="1:9" ht="30" customHeight="1">
      <c r="A2" s="1"/>
      <c r="B2" s="400" t="s">
        <v>63</v>
      </c>
      <c r="C2" s="400"/>
      <c r="D2" s="400"/>
      <c r="E2" s="400"/>
      <c r="F2" s="400"/>
      <c r="G2" s="400"/>
      <c r="H2" s="400"/>
      <c r="I2" s="400"/>
    </row>
    <row r="3" spans="1:9" ht="18" customHeight="1">
      <c r="A3" s="1"/>
      <c r="B3" s="440" t="s">
        <v>161</v>
      </c>
      <c r="C3" s="440"/>
      <c r="D3" s="440"/>
      <c r="E3" s="440"/>
      <c r="F3" s="440"/>
      <c r="G3" s="440"/>
      <c r="H3" s="440"/>
      <c r="I3" s="440"/>
    </row>
    <row r="4" spans="2:8" ht="33.75" customHeight="1">
      <c r="B4" s="3"/>
      <c r="C4" s="77" t="s">
        <v>64</v>
      </c>
      <c r="D4" s="78" t="s">
        <v>65</v>
      </c>
      <c r="E4" s="78" t="s">
        <v>66</v>
      </c>
      <c r="F4" s="78" t="s">
        <v>71</v>
      </c>
      <c r="G4" s="78" t="s">
        <v>67</v>
      </c>
      <c r="H4" s="79" t="s">
        <v>68</v>
      </c>
    </row>
    <row r="5" spans="2:9" ht="12.75" customHeight="1">
      <c r="B5" s="51" t="s">
        <v>124</v>
      </c>
      <c r="C5" s="193">
        <f aca="true" t="shared" si="0" ref="C5:H5">SUM(C6:C33)</f>
        <v>41</v>
      </c>
      <c r="D5" s="194">
        <f t="shared" si="0"/>
        <v>28</v>
      </c>
      <c r="E5" s="194">
        <f t="shared" si="0"/>
        <v>95</v>
      </c>
      <c r="F5" s="194">
        <f t="shared" si="0"/>
        <v>29</v>
      </c>
      <c r="G5" s="194">
        <f t="shared" si="0"/>
        <v>102</v>
      </c>
      <c r="H5" s="194">
        <f t="shared" si="0"/>
        <v>34</v>
      </c>
      <c r="I5" s="51" t="s">
        <v>124</v>
      </c>
    </row>
    <row r="6" spans="1:9" ht="12.75" customHeight="1">
      <c r="A6" s="8"/>
      <c r="B6" s="9" t="s">
        <v>45</v>
      </c>
      <c r="C6" s="195">
        <v>1</v>
      </c>
      <c r="D6" s="196">
        <v>1</v>
      </c>
      <c r="E6" s="196"/>
      <c r="F6" s="196"/>
      <c r="G6" s="196">
        <v>3</v>
      </c>
      <c r="H6" s="179"/>
      <c r="I6" s="9" t="s">
        <v>45</v>
      </c>
    </row>
    <row r="7" spans="1:9" ht="12.75" customHeight="1">
      <c r="A7" s="8"/>
      <c r="B7" s="52" t="s">
        <v>28</v>
      </c>
      <c r="C7" s="197"/>
      <c r="D7" s="198"/>
      <c r="E7" s="198">
        <v>3</v>
      </c>
      <c r="F7" s="198"/>
      <c r="G7" s="198"/>
      <c r="H7" s="145"/>
      <c r="I7" s="52" t="s">
        <v>28</v>
      </c>
    </row>
    <row r="8" spans="1:10" ht="12.75" customHeight="1">
      <c r="A8" s="8"/>
      <c r="B8" s="10" t="s">
        <v>30</v>
      </c>
      <c r="C8" s="199">
        <v>1</v>
      </c>
      <c r="D8" s="200"/>
      <c r="E8" s="200"/>
      <c r="F8" s="200"/>
      <c r="G8" s="200">
        <v>2</v>
      </c>
      <c r="H8" s="156">
        <v>2</v>
      </c>
      <c r="I8" s="10" t="s">
        <v>30</v>
      </c>
      <c r="J8" s="222"/>
    </row>
    <row r="9" spans="1:10" ht="12.75" customHeight="1">
      <c r="A9" s="8"/>
      <c r="B9" s="52" t="s">
        <v>41</v>
      </c>
      <c r="C9" s="197">
        <v>1</v>
      </c>
      <c r="D9" s="198"/>
      <c r="E9" s="198">
        <v>2</v>
      </c>
      <c r="F9" s="198"/>
      <c r="G9" s="198">
        <v>4</v>
      </c>
      <c r="H9" s="145">
        <v>1</v>
      </c>
      <c r="I9" s="52" t="s">
        <v>41</v>
      </c>
      <c r="J9" s="222"/>
    </row>
    <row r="10" spans="1:10" ht="12.75" customHeight="1">
      <c r="A10" s="8"/>
      <c r="B10" s="10" t="s">
        <v>46</v>
      </c>
      <c r="C10" s="199">
        <v>8</v>
      </c>
      <c r="D10" s="200">
        <v>1</v>
      </c>
      <c r="E10" s="200">
        <v>8</v>
      </c>
      <c r="F10" s="200">
        <v>3</v>
      </c>
      <c r="G10" s="200">
        <v>5</v>
      </c>
      <c r="H10" s="156"/>
      <c r="I10" s="10" t="s">
        <v>46</v>
      </c>
      <c r="J10" s="222"/>
    </row>
    <row r="11" spans="1:10" ht="12.75" customHeight="1">
      <c r="A11" s="8"/>
      <c r="B11" s="52" t="s">
        <v>31</v>
      </c>
      <c r="C11" s="197"/>
      <c r="D11" s="198"/>
      <c r="E11" s="198">
        <v>1</v>
      </c>
      <c r="F11" s="198"/>
      <c r="G11" s="198"/>
      <c r="H11" s="145"/>
      <c r="I11" s="52" t="s">
        <v>31</v>
      </c>
      <c r="J11" s="222"/>
    </row>
    <row r="12" spans="1:10" ht="12.75" customHeight="1">
      <c r="A12" s="8"/>
      <c r="B12" s="10" t="s">
        <v>49</v>
      </c>
      <c r="C12" s="199">
        <v>1</v>
      </c>
      <c r="D12" s="200"/>
      <c r="E12" s="200">
        <v>2</v>
      </c>
      <c r="F12" s="200">
        <v>1</v>
      </c>
      <c r="G12" s="200">
        <v>1</v>
      </c>
      <c r="H12" s="156"/>
      <c r="I12" s="10" t="s">
        <v>49</v>
      </c>
      <c r="J12" s="222"/>
    </row>
    <row r="13" spans="1:10" ht="12.75" customHeight="1">
      <c r="A13" s="8"/>
      <c r="B13" s="52" t="s">
        <v>42</v>
      </c>
      <c r="C13" s="197">
        <v>1</v>
      </c>
      <c r="D13" s="198">
        <v>2</v>
      </c>
      <c r="E13" s="198">
        <v>7</v>
      </c>
      <c r="F13" s="198">
        <v>1</v>
      </c>
      <c r="G13" s="198">
        <v>10</v>
      </c>
      <c r="H13" s="145">
        <v>13</v>
      </c>
      <c r="I13" s="52" t="s">
        <v>42</v>
      </c>
      <c r="J13" s="222"/>
    </row>
    <row r="14" spans="1:9" ht="12.75" customHeight="1">
      <c r="A14" s="8"/>
      <c r="B14" s="10" t="s">
        <v>47</v>
      </c>
      <c r="C14" s="199">
        <v>7</v>
      </c>
      <c r="D14" s="200">
        <v>4</v>
      </c>
      <c r="E14" s="200">
        <v>10</v>
      </c>
      <c r="F14" s="200">
        <v>6</v>
      </c>
      <c r="G14" s="200">
        <v>4</v>
      </c>
      <c r="H14" s="156">
        <v>1</v>
      </c>
      <c r="I14" s="10" t="s">
        <v>47</v>
      </c>
    </row>
    <row r="15" spans="1:9" ht="12.75" customHeight="1">
      <c r="A15" s="8"/>
      <c r="B15" s="52" t="s">
        <v>48</v>
      </c>
      <c r="C15" s="197">
        <v>3</v>
      </c>
      <c r="D15" s="198">
        <v>4</v>
      </c>
      <c r="E15" s="198">
        <v>11</v>
      </c>
      <c r="F15" s="198">
        <v>5</v>
      </c>
      <c r="G15" s="198">
        <v>20</v>
      </c>
      <c r="H15" s="145">
        <v>1</v>
      </c>
      <c r="I15" s="52" t="s">
        <v>48</v>
      </c>
    </row>
    <row r="16" spans="1:9" ht="12.75" customHeight="1">
      <c r="A16" s="8"/>
      <c r="B16" s="10" t="s">
        <v>60</v>
      </c>
      <c r="C16" s="199"/>
      <c r="D16" s="200"/>
      <c r="E16" s="200">
        <v>3</v>
      </c>
      <c r="F16" s="200">
        <v>1</v>
      </c>
      <c r="G16" s="200">
        <v>1</v>
      </c>
      <c r="H16" s="156"/>
      <c r="I16" s="10" t="s">
        <v>60</v>
      </c>
    </row>
    <row r="17" spans="1:9" ht="12.75" customHeight="1">
      <c r="A17" s="8"/>
      <c r="B17" s="209" t="s">
        <v>50</v>
      </c>
      <c r="C17" s="263">
        <v>3</v>
      </c>
      <c r="D17" s="264">
        <v>7</v>
      </c>
      <c r="E17" s="264">
        <v>13</v>
      </c>
      <c r="F17" s="264">
        <v>2</v>
      </c>
      <c r="G17" s="264">
        <v>7</v>
      </c>
      <c r="H17" s="191"/>
      <c r="I17" s="209" t="s">
        <v>50</v>
      </c>
    </row>
    <row r="18" spans="1:9" ht="12.75" customHeight="1">
      <c r="A18" s="8"/>
      <c r="B18" s="10" t="s">
        <v>29</v>
      </c>
      <c r="C18" s="199"/>
      <c r="D18" s="200">
        <v>1</v>
      </c>
      <c r="E18" s="200">
        <v>1</v>
      </c>
      <c r="F18" s="200"/>
      <c r="G18" s="200"/>
      <c r="H18" s="156"/>
      <c r="I18" s="10" t="s">
        <v>29</v>
      </c>
    </row>
    <row r="19" spans="1:9" ht="12.75" customHeight="1">
      <c r="A19" s="8"/>
      <c r="B19" s="209" t="s">
        <v>33</v>
      </c>
      <c r="C19" s="263"/>
      <c r="D19" s="264">
        <v>1</v>
      </c>
      <c r="E19" s="264"/>
      <c r="F19" s="264"/>
      <c r="G19" s="264"/>
      <c r="H19" s="191"/>
      <c r="I19" s="209" t="s">
        <v>33</v>
      </c>
    </row>
    <row r="20" spans="1:9" ht="12.75" customHeight="1">
      <c r="A20" s="8"/>
      <c r="B20" s="10" t="s">
        <v>34</v>
      </c>
      <c r="C20" s="199"/>
      <c r="D20" s="200"/>
      <c r="E20" s="200">
        <v>1</v>
      </c>
      <c r="F20" s="200">
        <v>1</v>
      </c>
      <c r="G20" s="200">
        <v>1</v>
      </c>
      <c r="H20" s="156"/>
      <c r="I20" s="10" t="s">
        <v>34</v>
      </c>
    </row>
    <row r="21" spans="1:9" ht="12.75" customHeight="1">
      <c r="A21" s="8"/>
      <c r="B21" s="209" t="s">
        <v>51</v>
      </c>
      <c r="C21" s="263"/>
      <c r="D21" s="264"/>
      <c r="E21" s="264">
        <v>1</v>
      </c>
      <c r="F21" s="264"/>
      <c r="G21" s="264"/>
      <c r="H21" s="191"/>
      <c r="I21" s="209" t="s">
        <v>51</v>
      </c>
    </row>
    <row r="22" spans="1:9" ht="12.75" customHeight="1">
      <c r="A22" s="8"/>
      <c r="B22" s="10" t="s">
        <v>32</v>
      </c>
      <c r="C22" s="199">
        <v>1</v>
      </c>
      <c r="D22" s="200"/>
      <c r="E22" s="200"/>
      <c r="F22" s="200"/>
      <c r="G22" s="200">
        <v>1</v>
      </c>
      <c r="H22" s="156"/>
      <c r="I22" s="10" t="s">
        <v>32</v>
      </c>
    </row>
    <row r="23" spans="1:9" ht="12.75" customHeight="1">
      <c r="A23" s="8"/>
      <c r="B23" s="209" t="s">
        <v>35</v>
      </c>
      <c r="C23" s="263"/>
      <c r="D23" s="264">
        <v>1</v>
      </c>
      <c r="E23" s="264"/>
      <c r="F23" s="264"/>
      <c r="G23" s="264"/>
      <c r="H23" s="191"/>
      <c r="I23" s="209" t="s">
        <v>35</v>
      </c>
    </row>
    <row r="24" spans="1:9" ht="12.75" customHeight="1">
      <c r="A24" s="8"/>
      <c r="B24" s="10" t="s">
        <v>43</v>
      </c>
      <c r="C24" s="199">
        <v>1</v>
      </c>
      <c r="D24" s="200"/>
      <c r="E24" s="200">
        <v>2</v>
      </c>
      <c r="F24" s="200"/>
      <c r="G24" s="200">
        <v>2</v>
      </c>
      <c r="H24" s="156"/>
      <c r="I24" s="10" t="s">
        <v>43</v>
      </c>
    </row>
    <row r="25" spans="1:9" ht="12.75" customHeight="1">
      <c r="A25" s="8"/>
      <c r="B25" s="209" t="s">
        <v>52</v>
      </c>
      <c r="C25" s="263">
        <v>1</v>
      </c>
      <c r="D25" s="264"/>
      <c r="E25" s="264">
        <v>2</v>
      </c>
      <c r="F25" s="264">
        <v>1</v>
      </c>
      <c r="G25" s="264">
        <v>2</v>
      </c>
      <c r="H25" s="191"/>
      <c r="I25" s="209" t="s">
        <v>52</v>
      </c>
    </row>
    <row r="26" spans="1:9" ht="12.75" customHeight="1">
      <c r="A26" s="8"/>
      <c r="B26" s="10" t="s">
        <v>36</v>
      </c>
      <c r="C26" s="199">
        <v>1</v>
      </c>
      <c r="D26" s="200"/>
      <c r="E26" s="200">
        <v>6</v>
      </c>
      <c r="F26" s="200">
        <v>1</v>
      </c>
      <c r="G26" s="200">
        <v>4</v>
      </c>
      <c r="H26" s="156"/>
      <c r="I26" s="10" t="s">
        <v>36</v>
      </c>
    </row>
    <row r="27" spans="1:9" ht="12.75" customHeight="1">
      <c r="A27" s="8"/>
      <c r="B27" s="209" t="s">
        <v>53</v>
      </c>
      <c r="C27" s="263">
        <v>1</v>
      </c>
      <c r="D27" s="264">
        <v>2</v>
      </c>
      <c r="E27" s="264">
        <v>2</v>
      </c>
      <c r="F27" s="264"/>
      <c r="G27" s="264">
        <v>4</v>
      </c>
      <c r="H27" s="191">
        <v>4</v>
      </c>
      <c r="I27" s="209" t="s">
        <v>53</v>
      </c>
    </row>
    <row r="28" spans="1:9" ht="12.75" customHeight="1">
      <c r="A28" s="8"/>
      <c r="B28" s="10" t="s">
        <v>37</v>
      </c>
      <c r="C28" s="199">
        <v>1</v>
      </c>
      <c r="D28" s="200"/>
      <c r="E28" s="200">
        <v>2</v>
      </c>
      <c r="F28" s="200">
        <v>1</v>
      </c>
      <c r="G28" s="200">
        <v>3</v>
      </c>
      <c r="H28" s="156"/>
      <c r="I28" s="10" t="s">
        <v>37</v>
      </c>
    </row>
    <row r="29" spans="1:9" ht="12.75" customHeight="1">
      <c r="A29" s="8"/>
      <c r="B29" s="209" t="s">
        <v>39</v>
      </c>
      <c r="C29" s="263"/>
      <c r="D29" s="264"/>
      <c r="E29" s="264">
        <v>1</v>
      </c>
      <c r="F29" s="264"/>
      <c r="G29" s="264"/>
      <c r="H29" s="191"/>
      <c r="I29" s="209" t="s">
        <v>39</v>
      </c>
    </row>
    <row r="30" spans="1:9" ht="12.75" customHeight="1">
      <c r="A30" s="8"/>
      <c r="B30" s="10" t="s">
        <v>38</v>
      </c>
      <c r="C30" s="199"/>
      <c r="D30" s="200"/>
      <c r="E30" s="200">
        <v>1</v>
      </c>
      <c r="F30" s="200"/>
      <c r="G30" s="200">
        <v>1</v>
      </c>
      <c r="H30" s="156"/>
      <c r="I30" s="10" t="s">
        <v>38</v>
      </c>
    </row>
    <row r="31" spans="1:9" ht="12.75" customHeight="1">
      <c r="A31" s="8"/>
      <c r="B31" s="209" t="s">
        <v>54</v>
      </c>
      <c r="C31" s="263">
        <v>1</v>
      </c>
      <c r="D31" s="264"/>
      <c r="E31" s="264">
        <v>1</v>
      </c>
      <c r="F31" s="264"/>
      <c r="G31" s="264">
        <v>8</v>
      </c>
      <c r="H31" s="191">
        <v>7</v>
      </c>
      <c r="I31" s="209" t="s">
        <v>54</v>
      </c>
    </row>
    <row r="32" spans="1:9" ht="12.75" customHeight="1">
      <c r="A32" s="8"/>
      <c r="B32" s="10" t="s">
        <v>55</v>
      </c>
      <c r="C32" s="199">
        <v>1</v>
      </c>
      <c r="D32" s="200">
        <v>1</v>
      </c>
      <c r="E32" s="200">
        <v>5</v>
      </c>
      <c r="F32" s="200"/>
      <c r="G32" s="200">
        <v>11</v>
      </c>
      <c r="H32" s="156"/>
      <c r="I32" s="10" t="s">
        <v>55</v>
      </c>
    </row>
    <row r="33" spans="1:9" ht="12.75" customHeight="1">
      <c r="A33" s="8"/>
      <c r="B33" s="209" t="s">
        <v>44</v>
      </c>
      <c r="C33" s="263">
        <v>7</v>
      </c>
      <c r="D33" s="264">
        <v>3</v>
      </c>
      <c r="E33" s="264">
        <v>10</v>
      </c>
      <c r="F33" s="264">
        <v>6</v>
      </c>
      <c r="G33" s="264">
        <v>8</v>
      </c>
      <c r="H33" s="191">
        <v>5</v>
      </c>
      <c r="I33" s="209" t="s">
        <v>44</v>
      </c>
    </row>
    <row r="34" spans="1:9" ht="12.75" customHeight="1">
      <c r="A34" s="8"/>
      <c r="B34" s="9" t="s">
        <v>123</v>
      </c>
      <c r="C34" s="195"/>
      <c r="D34" s="196"/>
      <c r="E34" s="196">
        <v>1</v>
      </c>
      <c r="F34" s="196"/>
      <c r="G34" s="196"/>
      <c r="H34" s="179"/>
      <c r="I34" s="9" t="s">
        <v>123</v>
      </c>
    </row>
    <row r="35" spans="1:9" ht="12.75" customHeight="1">
      <c r="A35" s="8"/>
      <c r="B35" s="209" t="s">
        <v>121</v>
      </c>
      <c r="C35" s="263"/>
      <c r="D35" s="264"/>
      <c r="E35" s="264"/>
      <c r="F35" s="264">
        <v>2</v>
      </c>
      <c r="G35" s="264"/>
      <c r="H35" s="320"/>
      <c r="I35" s="209" t="s">
        <v>121</v>
      </c>
    </row>
    <row r="36" spans="1:9" ht="12.75" customHeight="1">
      <c r="A36" s="8"/>
      <c r="B36" s="10" t="s">
        <v>1</v>
      </c>
      <c r="C36" s="199"/>
      <c r="D36" s="200"/>
      <c r="E36" s="200">
        <v>1</v>
      </c>
      <c r="F36" s="200"/>
      <c r="G36" s="200"/>
      <c r="H36" s="156"/>
      <c r="I36" s="10" t="s">
        <v>1</v>
      </c>
    </row>
    <row r="37" spans="1:9" ht="12.75" customHeight="1">
      <c r="A37" s="8"/>
      <c r="B37" s="209" t="s">
        <v>122</v>
      </c>
      <c r="C37" s="263"/>
      <c r="D37" s="264"/>
      <c r="E37" s="264">
        <v>1</v>
      </c>
      <c r="F37" s="264"/>
      <c r="G37" s="264"/>
      <c r="H37" s="191"/>
      <c r="I37" s="209" t="s">
        <v>122</v>
      </c>
    </row>
    <row r="38" spans="1:9" ht="12.75" customHeight="1">
      <c r="A38" s="8"/>
      <c r="B38" s="12" t="s">
        <v>40</v>
      </c>
      <c r="C38" s="201">
        <v>5</v>
      </c>
      <c r="D38" s="202">
        <v>1</v>
      </c>
      <c r="E38" s="202">
        <v>12</v>
      </c>
      <c r="F38" s="202">
        <v>8</v>
      </c>
      <c r="G38" s="202">
        <v>15</v>
      </c>
      <c r="H38" s="203">
        <v>10</v>
      </c>
      <c r="I38" s="12" t="s">
        <v>40</v>
      </c>
    </row>
    <row r="39" spans="1:10" ht="12.75" customHeight="1">
      <c r="A39" s="8"/>
      <c r="B39" s="209" t="s">
        <v>26</v>
      </c>
      <c r="C39" s="263"/>
      <c r="D39" s="264">
        <v>1</v>
      </c>
      <c r="E39" s="264"/>
      <c r="F39" s="264"/>
      <c r="G39" s="264"/>
      <c r="H39" s="185"/>
      <c r="I39" s="209" t="s">
        <v>26</v>
      </c>
      <c r="J39" s="222"/>
    </row>
    <row r="40" spans="1:10" ht="12.75" customHeight="1">
      <c r="A40" s="8"/>
      <c r="B40" s="10" t="s">
        <v>56</v>
      </c>
      <c r="C40" s="199">
        <v>1</v>
      </c>
      <c r="D40" s="200">
        <v>1</v>
      </c>
      <c r="E40" s="200">
        <v>8</v>
      </c>
      <c r="F40" s="200">
        <v>3</v>
      </c>
      <c r="G40" s="200">
        <v>10</v>
      </c>
      <c r="H40" s="156">
        <v>6</v>
      </c>
      <c r="I40" s="10" t="s">
        <v>56</v>
      </c>
      <c r="J40" s="200"/>
    </row>
    <row r="41" spans="1:9" ht="12.75" customHeight="1">
      <c r="A41" s="8"/>
      <c r="B41" s="232" t="s">
        <v>27</v>
      </c>
      <c r="C41" s="265">
        <v>2</v>
      </c>
      <c r="D41" s="266">
        <v>1</v>
      </c>
      <c r="E41" s="266"/>
      <c r="F41" s="266"/>
      <c r="G41" s="266">
        <v>2</v>
      </c>
      <c r="H41" s="267">
        <v>1</v>
      </c>
      <c r="I41" s="232" t="s">
        <v>27</v>
      </c>
    </row>
    <row r="42" spans="1:8" ht="26.25" customHeight="1">
      <c r="A42" s="8"/>
      <c r="B42" s="398" t="s">
        <v>127</v>
      </c>
      <c r="C42" s="398"/>
      <c r="D42" s="398"/>
      <c r="E42" s="398"/>
      <c r="F42" s="398"/>
      <c r="G42" s="398"/>
      <c r="H42" s="204"/>
    </row>
    <row r="43" spans="1:9" ht="34.5" customHeight="1">
      <c r="A43" s="8"/>
      <c r="B43" s="425" t="s">
        <v>162</v>
      </c>
      <c r="C43" s="425"/>
      <c r="D43" s="425"/>
      <c r="E43" s="425"/>
      <c r="F43" s="425"/>
      <c r="G43" s="425"/>
      <c r="H43" s="425"/>
      <c r="I43" s="425"/>
    </row>
    <row r="44" ht="23.25" customHeight="1"/>
    <row r="45" ht="47.25" customHeight="1"/>
    <row r="46" ht="12.75" customHeight="1"/>
    <row r="47" ht="12.75" customHeight="1"/>
  </sheetData>
  <sheetProtection/>
  <mergeCells count="5">
    <mergeCell ref="B43:I43"/>
    <mergeCell ref="B1:C1"/>
    <mergeCell ref="B42:G42"/>
    <mergeCell ref="B2:I2"/>
    <mergeCell ref="B3:I3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zoomScalePageLayoutView="0" workbookViewId="0" topLeftCell="O6">
      <selection activeCell="AC6" sqref="AC1:AN16384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5" width="6.00390625" style="0" customWidth="1"/>
    <col min="6" max="10" width="6.7109375" style="0" customWidth="1"/>
    <col min="11" max="13" width="6.00390625" style="0" customWidth="1"/>
    <col min="14" max="15" width="6.7109375" style="0" customWidth="1"/>
    <col min="16" max="22" width="7.28125" style="0" customWidth="1"/>
    <col min="23" max="27" width="7.421875" style="0" customWidth="1"/>
    <col min="28" max="28" width="4.7109375" style="0" customWidth="1"/>
  </cols>
  <sheetData>
    <row r="1" spans="2:28" ht="14.25" customHeight="1">
      <c r="B1" s="397"/>
      <c r="C1" s="397"/>
      <c r="D1" s="28"/>
      <c r="E1" s="25"/>
      <c r="F1" s="25"/>
      <c r="G1" s="25"/>
      <c r="H1" s="25"/>
      <c r="I1" s="25"/>
      <c r="J1" s="25"/>
      <c r="K1" s="25"/>
      <c r="L1" s="25"/>
      <c r="AB1" s="18" t="s">
        <v>113</v>
      </c>
    </row>
    <row r="2" spans="2:28" ht="30" customHeight="1">
      <c r="B2" s="400" t="s">
        <v>77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</row>
    <row r="3" spans="2:28" ht="38.25" customHeight="1">
      <c r="B3" s="418" t="s">
        <v>78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  <c r="Y3" s="418"/>
      <c r="Z3" s="418"/>
      <c r="AA3" s="418"/>
      <c r="AB3" s="418"/>
    </row>
    <row r="4" spans="2:27" ht="12.75" customHeight="1">
      <c r="B4" s="3"/>
      <c r="C4" s="37"/>
      <c r="D4" s="37"/>
      <c r="E4" s="170"/>
      <c r="F4" s="170"/>
      <c r="G4" s="170"/>
      <c r="H4" s="170"/>
      <c r="I4" s="170"/>
      <c r="J4" s="170"/>
      <c r="K4" s="170"/>
      <c r="L4" s="170"/>
      <c r="S4" s="38"/>
      <c r="T4" s="38"/>
      <c r="U4" s="38"/>
      <c r="V4" s="38"/>
      <c r="W4" s="38"/>
      <c r="X4" s="38"/>
      <c r="Y4" s="38"/>
      <c r="AA4" s="38" t="s">
        <v>5</v>
      </c>
    </row>
    <row r="5" spans="2:27" ht="15" customHeight="1">
      <c r="B5" s="167"/>
      <c r="C5" s="48">
        <v>1970</v>
      </c>
      <c r="D5" s="49">
        <v>1980</v>
      </c>
      <c r="E5" s="49">
        <v>1990</v>
      </c>
      <c r="F5" s="49">
        <v>1995</v>
      </c>
      <c r="G5" s="49">
        <v>1996</v>
      </c>
      <c r="H5" s="49">
        <v>1997</v>
      </c>
      <c r="I5" s="49">
        <v>1998</v>
      </c>
      <c r="J5" s="49">
        <v>1999</v>
      </c>
      <c r="K5" s="49">
        <v>2000</v>
      </c>
      <c r="L5" s="49">
        <v>2001</v>
      </c>
      <c r="M5" s="49">
        <v>2002</v>
      </c>
      <c r="N5" s="49">
        <v>2003</v>
      </c>
      <c r="O5" s="49">
        <v>2004</v>
      </c>
      <c r="P5" s="49">
        <v>2005</v>
      </c>
      <c r="Q5" s="49">
        <v>2006</v>
      </c>
      <c r="R5" s="49">
        <v>2007</v>
      </c>
      <c r="S5" s="49">
        <v>2008</v>
      </c>
      <c r="T5" s="49">
        <v>2009</v>
      </c>
      <c r="U5" s="49">
        <v>2010</v>
      </c>
      <c r="V5" s="49">
        <v>2011</v>
      </c>
      <c r="W5" s="49">
        <v>2012</v>
      </c>
      <c r="X5" s="49">
        <v>2013</v>
      </c>
      <c r="Y5" s="49">
        <v>2014</v>
      </c>
      <c r="Z5" s="49">
        <v>2015</v>
      </c>
      <c r="AA5" s="50">
        <v>2016</v>
      </c>
    </row>
    <row r="6" spans="2:28" ht="12.75" customHeight="1">
      <c r="B6" s="51" t="s">
        <v>124</v>
      </c>
      <c r="C6" s="388"/>
      <c r="D6" s="363"/>
      <c r="E6" s="363"/>
      <c r="F6" s="363">
        <f aca="true" t="shared" si="0" ref="F6:O6">SUM(F7:F34)</f>
        <v>38611</v>
      </c>
      <c r="G6" s="379">
        <f t="shared" si="0"/>
        <v>38256</v>
      </c>
      <c r="H6" s="379">
        <f t="shared" si="0"/>
        <v>38464</v>
      </c>
      <c r="I6" s="379">
        <f t="shared" si="0"/>
        <v>39536.1</v>
      </c>
      <c r="J6" s="379">
        <f t="shared" si="0"/>
        <v>39450.1</v>
      </c>
      <c r="K6" s="379">
        <f t="shared" si="0"/>
        <v>40810.8</v>
      </c>
      <c r="L6" s="379">
        <f t="shared" si="0"/>
        <v>40367.1</v>
      </c>
      <c r="M6" s="379">
        <f t="shared" si="0"/>
        <v>40277.1</v>
      </c>
      <c r="N6" s="379">
        <f t="shared" si="0"/>
        <v>40116.1</v>
      </c>
      <c r="O6" s="379">
        <f t="shared" si="0"/>
        <v>41245.1</v>
      </c>
      <c r="P6" s="363">
        <f aca="true" t="shared" si="1" ref="P6:V6">SUM(P7:P34)</f>
        <v>41848.1</v>
      </c>
      <c r="Q6" s="363">
        <f t="shared" si="1"/>
        <v>41750.1</v>
      </c>
      <c r="R6" s="363">
        <f t="shared" si="1"/>
        <v>41686.1</v>
      </c>
      <c r="S6" s="363">
        <f t="shared" si="1"/>
        <v>41390.1</v>
      </c>
      <c r="T6" s="379">
        <f t="shared" si="1"/>
        <v>41366.1</v>
      </c>
      <c r="U6" s="379">
        <f t="shared" si="1"/>
        <v>41787.7</v>
      </c>
      <c r="V6" s="379">
        <f t="shared" si="1"/>
        <v>41937.3</v>
      </c>
      <c r="W6" s="379">
        <f>SUM(W7:W34)</f>
        <v>41867.3</v>
      </c>
      <c r="X6" s="379">
        <f>SUM(X7:X34)</f>
        <v>42052.3</v>
      </c>
      <c r="Y6" s="379">
        <f>SUM(Y7:Y34)</f>
        <v>41733.6</v>
      </c>
      <c r="Z6" s="379">
        <f>SUM(Z7:Z34)</f>
        <v>41934.7</v>
      </c>
      <c r="AA6" s="380">
        <f>SUM(AA7:AA34)</f>
        <v>41894.9</v>
      </c>
      <c r="AB6" s="51" t="s">
        <v>124</v>
      </c>
    </row>
    <row r="7" spans="1:28" ht="12.75" customHeight="1">
      <c r="A7" s="2"/>
      <c r="B7" s="9" t="s">
        <v>45</v>
      </c>
      <c r="C7" s="281">
        <v>1553</v>
      </c>
      <c r="D7" s="282">
        <v>1510</v>
      </c>
      <c r="E7" s="282">
        <v>1515</v>
      </c>
      <c r="F7" s="282">
        <v>1540</v>
      </c>
      <c r="G7" s="228">
        <v>1540</v>
      </c>
      <c r="H7" s="228">
        <v>1540</v>
      </c>
      <c r="I7" s="282">
        <v>1534</v>
      </c>
      <c r="J7" s="282">
        <v>1534</v>
      </c>
      <c r="K7" s="282">
        <v>1534</v>
      </c>
      <c r="L7" s="282">
        <v>1527</v>
      </c>
      <c r="M7" s="282">
        <v>1527</v>
      </c>
      <c r="N7" s="282">
        <v>1516</v>
      </c>
      <c r="O7" s="282">
        <v>1516</v>
      </c>
      <c r="P7" s="282">
        <v>1516</v>
      </c>
      <c r="Q7" s="282">
        <v>1516</v>
      </c>
      <c r="R7" s="282">
        <v>1516</v>
      </c>
      <c r="S7" s="282">
        <v>1516</v>
      </c>
      <c r="T7" s="228">
        <v>1516</v>
      </c>
      <c r="U7" s="228">
        <v>1516</v>
      </c>
      <c r="V7" s="228">
        <v>1516</v>
      </c>
      <c r="W7" s="228">
        <v>1516</v>
      </c>
      <c r="X7" s="228">
        <v>1516</v>
      </c>
      <c r="Y7" s="228">
        <v>1516</v>
      </c>
      <c r="Z7" s="228">
        <v>1516</v>
      </c>
      <c r="AA7" s="228">
        <v>1516</v>
      </c>
      <c r="AB7" s="9" t="s">
        <v>45</v>
      </c>
    </row>
    <row r="8" spans="1:28" ht="12.75" customHeight="1">
      <c r="A8" s="2"/>
      <c r="B8" s="52" t="s">
        <v>28</v>
      </c>
      <c r="C8" s="278"/>
      <c r="D8" s="223"/>
      <c r="E8" s="223">
        <v>470</v>
      </c>
      <c r="F8" s="223">
        <v>470</v>
      </c>
      <c r="G8" s="223">
        <v>470</v>
      </c>
      <c r="H8" s="223">
        <v>470</v>
      </c>
      <c r="I8" s="223">
        <v>470</v>
      </c>
      <c r="J8" s="223">
        <v>470</v>
      </c>
      <c r="K8" s="223">
        <v>470</v>
      </c>
      <c r="L8" s="223">
        <v>470</v>
      </c>
      <c r="M8" s="223">
        <v>470</v>
      </c>
      <c r="N8" s="223">
        <v>470</v>
      </c>
      <c r="O8" s="223">
        <v>470</v>
      </c>
      <c r="P8" s="223">
        <v>470</v>
      </c>
      <c r="Q8" s="223">
        <v>470</v>
      </c>
      <c r="R8" s="223">
        <v>470</v>
      </c>
      <c r="S8" s="223">
        <v>470</v>
      </c>
      <c r="T8" s="223">
        <v>470</v>
      </c>
      <c r="U8" s="223">
        <v>470</v>
      </c>
      <c r="V8" s="223">
        <v>470</v>
      </c>
      <c r="W8" s="223">
        <v>470</v>
      </c>
      <c r="X8" s="223">
        <v>470</v>
      </c>
      <c r="Y8" s="223">
        <v>470</v>
      </c>
      <c r="Z8" s="223">
        <v>470</v>
      </c>
      <c r="AA8" s="223">
        <v>470</v>
      </c>
      <c r="AB8" s="52" t="s">
        <v>28</v>
      </c>
    </row>
    <row r="9" spans="1:28" ht="12.75" customHeight="1">
      <c r="A9" s="8"/>
      <c r="B9" s="10" t="s">
        <v>30</v>
      </c>
      <c r="C9" s="285"/>
      <c r="D9" s="305"/>
      <c r="E9" s="305"/>
      <c r="F9" s="282">
        <v>677</v>
      </c>
      <c r="G9" s="282">
        <v>677</v>
      </c>
      <c r="H9" s="282">
        <v>677</v>
      </c>
      <c r="I9" s="282">
        <v>664</v>
      </c>
      <c r="J9" s="282">
        <v>664</v>
      </c>
      <c r="K9" s="282">
        <v>664</v>
      </c>
      <c r="L9" s="282">
        <v>664</v>
      </c>
      <c r="M9" s="282">
        <v>664</v>
      </c>
      <c r="N9" s="282">
        <v>664</v>
      </c>
      <c r="O9" s="282">
        <v>664</v>
      </c>
      <c r="P9" s="282">
        <v>664</v>
      </c>
      <c r="Q9" s="282">
        <v>664</v>
      </c>
      <c r="R9" s="282">
        <v>664</v>
      </c>
      <c r="S9" s="282">
        <v>664</v>
      </c>
      <c r="T9" s="282">
        <v>676</v>
      </c>
      <c r="U9" s="282">
        <v>676</v>
      </c>
      <c r="V9" s="282">
        <v>676</v>
      </c>
      <c r="W9" s="282">
        <v>676</v>
      </c>
      <c r="X9" s="282">
        <v>686.8</v>
      </c>
      <c r="Y9" s="282">
        <v>687</v>
      </c>
      <c r="Z9" s="282">
        <v>720</v>
      </c>
      <c r="AA9" s="282">
        <v>720.2</v>
      </c>
      <c r="AB9" s="10" t="s">
        <v>30</v>
      </c>
    </row>
    <row r="10" spans="1:28" ht="12.75" customHeight="1">
      <c r="A10" s="8"/>
      <c r="B10" s="52" t="s">
        <v>41</v>
      </c>
      <c r="C10" s="278" t="s">
        <v>59</v>
      </c>
      <c r="D10" s="223" t="s">
        <v>59</v>
      </c>
      <c r="E10" s="223" t="s">
        <v>59</v>
      </c>
      <c r="F10" s="223" t="s">
        <v>59</v>
      </c>
      <c r="G10" s="223" t="s">
        <v>59</v>
      </c>
      <c r="H10" s="223" t="s">
        <v>59</v>
      </c>
      <c r="I10" s="223" t="s">
        <v>59</v>
      </c>
      <c r="J10" s="223" t="s">
        <v>59</v>
      </c>
      <c r="K10" s="223" t="s">
        <v>59</v>
      </c>
      <c r="L10" s="223" t="s">
        <v>59</v>
      </c>
      <c r="M10" s="223" t="s">
        <v>59</v>
      </c>
      <c r="N10" s="223" t="s">
        <v>59</v>
      </c>
      <c r="O10" s="223" t="s">
        <v>59</v>
      </c>
      <c r="P10" s="223" t="s">
        <v>59</v>
      </c>
      <c r="Q10" s="223" t="s">
        <v>59</v>
      </c>
      <c r="R10" s="223" t="s">
        <v>59</v>
      </c>
      <c r="S10" s="223" t="s">
        <v>59</v>
      </c>
      <c r="T10" s="223" t="s">
        <v>59</v>
      </c>
      <c r="U10" s="223" t="s">
        <v>59</v>
      </c>
      <c r="V10" s="223" t="s">
        <v>59</v>
      </c>
      <c r="W10" s="223" t="s">
        <v>59</v>
      </c>
      <c r="X10" s="223" t="s">
        <v>59</v>
      </c>
      <c r="Y10" s="223" t="s">
        <v>59</v>
      </c>
      <c r="Z10" s="223" t="s">
        <v>59</v>
      </c>
      <c r="AA10" s="223" t="s">
        <v>59</v>
      </c>
      <c r="AB10" s="52" t="s">
        <v>41</v>
      </c>
    </row>
    <row r="11" spans="1:28" ht="12.75" customHeight="1">
      <c r="A11" s="8"/>
      <c r="B11" s="10" t="s">
        <v>46</v>
      </c>
      <c r="C11" s="281">
        <v>6808</v>
      </c>
      <c r="D11" s="282">
        <v>6697</v>
      </c>
      <c r="E11" s="328">
        <v>4350</v>
      </c>
      <c r="F11" s="282">
        <v>6663</v>
      </c>
      <c r="G11" s="282">
        <v>6760</v>
      </c>
      <c r="H11" s="282">
        <v>6673</v>
      </c>
      <c r="I11" s="282">
        <v>6740</v>
      </c>
      <c r="J11" s="282">
        <v>6754</v>
      </c>
      <c r="K11" s="282">
        <v>6754</v>
      </c>
      <c r="L11" s="282">
        <v>6687</v>
      </c>
      <c r="M11" s="282">
        <v>6642</v>
      </c>
      <c r="N11" s="282">
        <v>6636</v>
      </c>
      <c r="O11" s="282">
        <v>7565</v>
      </c>
      <c r="P11" s="282">
        <v>7565</v>
      </c>
      <c r="Q11" s="282">
        <v>7565</v>
      </c>
      <c r="R11" s="282">
        <v>7565</v>
      </c>
      <c r="S11" s="282">
        <v>7565</v>
      </c>
      <c r="T11" s="282">
        <v>7565</v>
      </c>
      <c r="U11" s="282">
        <v>7728</v>
      </c>
      <c r="V11" s="282">
        <v>7728</v>
      </c>
      <c r="W11" s="282">
        <v>7675</v>
      </c>
      <c r="X11" s="282">
        <v>7675</v>
      </c>
      <c r="Y11" s="282">
        <v>7675</v>
      </c>
      <c r="Z11" s="282">
        <v>7675</v>
      </c>
      <c r="AA11" s="282">
        <v>7675</v>
      </c>
      <c r="AB11" s="10" t="s">
        <v>46</v>
      </c>
    </row>
    <row r="12" spans="1:28" ht="12.75" customHeight="1">
      <c r="A12" s="8"/>
      <c r="B12" s="52" t="s">
        <v>31</v>
      </c>
      <c r="C12" s="278"/>
      <c r="D12" s="223"/>
      <c r="E12" s="223"/>
      <c r="F12" s="223">
        <v>520</v>
      </c>
      <c r="G12" s="223">
        <v>520</v>
      </c>
      <c r="H12" s="223">
        <v>320</v>
      </c>
      <c r="I12" s="223">
        <v>320</v>
      </c>
      <c r="J12" s="223">
        <v>320</v>
      </c>
      <c r="K12" s="223">
        <v>320</v>
      </c>
      <c r="L12" s="223">
        <v>320</v>
      </c>
      <c r="M12" s="223">
        <v>320</v>
      </c>
      <c r="N12" s="223">
        <v>320</v>
      </c>
      <c r="O12" s="223">
        <v>320</v>
      </c>
      <c r="P12" s="223">
        <v>320</v>
      </c>
      <c r="Q12" s="223">
        <v>320</v>
      </c>
      <c r="R12" s="223">
        <v>320</v>
      </c>
      <c r="S12" s="223">
        <v>335</v>
      </c>
      <c r="T12" s="223">
        <v>335</v>
      </c>
      <c r="U12" s="223">
        <v>335</v>
      </c>
      <c r="V12" s="223">
        <v>335</v>
      </c>
      <c r="W12" s="223">
        <v>335</v>
      </c>
      <c r="X12" s="223">
        <v>399</v>
      </c>
      <c r="Y12" s="223">
        <v>416</v>
      </c>
      <c r="Z12" s="223">
        <v>416</v>
      </c>
      <c r="AA12" s="223">
        <v>416</v>
      </c>
      <c r="AB12" s="52" t="s">
        <v>31</v>
      </c>
    </row>
    <row r="13" spans="1:28" ht="12.75" customHeight="1">
      <c r="A13" s="8"/>
      <c r="B13" s="10" t="s">
        <v>49</v>
      </c>
      <c r="C13" s="281" t="s">
        <v>59</v>
      </c>
      <c r="D13" s="282" t="s">
        <v>59</v>
      </c>
      <c r="E13" s="282" t="s">
        <v>59</v>
      </c>
      <c r="F13" s="282" t="s">
        <v>59</v>
      </c>
      <c r="G13" s="282" t="s">
        <v>59</v>
      </c>
      <c r="H13" s="282" t="s">
        <v>59</v>
      </c>
      <c r="I13" s="282" t="s">
        <v>59</v>
      </c>
      <c r="J13" s="282" t="s">
        <v>59</v>
      </c>
      <c r="K13" s="282" t="s">
        <v>59</v>
      </c>
      <c r="L13" s="282" t="s">
        <v>59</v>
      </c>
      <c r="M13" s="282" t="s">
        <v>59</v>
      </c>
      <c r="N13" s="282" t="s">
        <v>59</v>
      </c>
      <c r="O13" s="282" t="s">
        <v>59</v>
      </c>
      <c r="P13" s="282" t="s">
        <v>59</v>
      </c>
      <c r="Q13" s="282" t="s">
        <v>59</v>
      </c>
      <c r="R13" s="282" t="s">
        <v>59</v>
      </c>
      <c r="S13" s="282" t="s">
        <v>59</v>
      </c>
      <c r="T13" s="282" t="s">
        <v>59</v>
      </c>
      <c r="U13" s="282" t="s">
        <v>59</v>
      </c>
      <c r="V13" s="282" t="s">
        <v>59</v>
      </c>
      <c r="W13" s="282" t="s">
        <v>59</v>
      </c>
      <c r="X13" s="282" t="s">
        <v>59</v>
      </c>
      <c r="Y13" s="282" t="s">
        <v>59</v>
      </c>
      <c r="Z13" s="282" t="s">
        <v>59</v>
      </c>
      <c r="AA13" s="282" t="s">
        <v>59</v>
      </c>
      <c r="AB13" s="10" t="s">
        <v>49</v>
      </c>
    </row>
    <row r="14" spans="1:28" ht="12.75" customHeight="1">
      <c r="A14" s="8"/>
      <c r="B14" s="52" t="s">
        <v>42</v>
      </c>
      <c r="C14" s="223" t="s">
        <v>59</v>
      </c>
      <c r="D14" s="223" t="s">
        <v>59</v>
      </c>
      <c r="E14" s="223" t="s">
        <v>59</v>
      </c>
      <c r="F14" s="223" t="s">
        <v>59</v>
      </c>
      <c r="G14" s="223" t="s">
        <v>59</v>
      </c>
      <c r="H14" s="223" t="s">
        <v>59</v>
      </c>
      <c r="I14" s="223" t="s">
        <v>59</v>
      </c>
      <c r="J14" s="223" t="s">
        <v>59</v>
      </c>
      <c r="K14" s="223" t="s">
        <v>59</v>
      </c>
      <c r="L14" s="223" t="s">
        <v>59</v>
      </c>
      <c r="M14" s="223" t="s">
        <v>59</v>
      </c>
      <c r="N14" s="223" t="s">
        <v>59</v>
      </c>
      <c r="O14" s="223" t="s">
        <v>59</v>
      </c>
      <c r="P14" s="223" t="s">
        <v>59</v>
      </c>
      <c r="Q14" s="223" t="s">
        <v>59</v>
      </c>
      <c r="R14" s="223" t="s">
        <v>59</v>
      </c>
      <c r="S14" s="223" t="s">
        <v>59</v>
      </c>
      <c r="T14" s="223" t="s">
        <v>59</v>
      </c>
      <c r="U14" s="223" t="s">
        <v>59</v>
      </c>
      <c r="V14" s="223" t="s">
        <v>59</v>
      </c>
      <c r="W14" s="223" t="s">
        <v>59</v>
      </c>
      <c r="X14" s="223" t="s">
        <v>59</v>
      </c>
      <c r="Y14" s="223" t="s">
        <v>59</v>
      </c>
      <c r="Z14" s="223" t="s">
        <v>59</v>
      </c>
      <c r="AA14" s="223" t="s">
        <v>59</v>
      </c>
      <c r="AB14" s="52" t="s">
        <v>42</v>
      </c>
    </row>
    <row r="15" spans="1:28" ht="12.75" customHeight="1">
      <c r="A15" s="8"/>
      <c r="B15" s="10" t="s">
        <v>47</v>
      </c>
      <c r="C15" s="281"/>
      <c r="D15" s="282"/>
      <c r="E15" s="282" t="s">
        <v>59</v>
      </c>
      <c r="F15" s="282" t="s">
        <v>59</v>
      </c>
      <c r="G15" s="282" t="s">
        <v>59</v>
      </c>
      <c r="H15" s="282" t="s">
        <v>59</v>
      </c>
      <c r="I15" s="282" t="s">
        <v>59</v>
      </c>
      <c r="J15" s="282" t="s">
        <v>59</v>
      </c>
      <c r="K15" s="282" t="s">
        <v>59</v>
      </c>
      <c r="L15" s="282" t="s">
        <v>59</v>
      </c>
      <c r="M15" s="282" t="s">
        <v>59</v>
      </c>
      <c r="N15" s="282" t="s">
        <v>59</v>
      </c>
      <c r="O15" s="282" t="s">
        <v>59</v>
      </c>
      <c r="P15" s="282" t="s">
        <v>59</v>
      </c>
      <c r="Q15" s="282" t="s">
        <v>59</v>
      </c>
      <c r="R15" s="282" t="s">
        <v>59</v>
      </c>
      <c r="S15" s="282" t="s">
        <v>59</v>
      </c>
      <c r="T15" s="282" t="s">
        <v>59</v>
      </c>
      <c r="U15" s="282" t="s">
        <v>59</v>
      </c>
      <c r="V15" s="282" t="s">
        <v>59</v>
      </c>
      <c r="W15" s="282" t="s">
        <v>59</v>
      </c>
      <c r="X15" s="282" t="s">
        <v>59</v>
      </c>
      <c r="Y15" s="282" t="s">
        <v>59</v>
      </c>
      <c r="Z15" s="282" t="s">
        <v>59</v>
      </c>
      <c r="AA15" s="282" t="s">
        <v>59</v>
      </c>
      <c r="AB15" s="10" t="s">
        <v>47</v>
      </c>
    </row>
    <row r="16" spans="1:28" ht="12.75" customHeight="1">
      <c r="A16" s="8"/>
      <c r="B16" s="52" t="s">
        <v>48</v>
      </c>
      <c r="C16" s="278">
        <v>7433</v>
      </c>
      <c r="D16" s="223">
        <v>6568</v>
      </c>
      <c r="E16" s="223">
        <v>6197</v>
      </c>
      <c r="F16" s="223">
        <v>5962</v>
      </c>
      <c r="G16" s="223">
        <v>5678</v>
      </c>
      <c r="H16" s="223">
        <v>6051</v>
      </c>
      <c r="I16" s="223">
        <v>5732</v>
      </c>
      <c r="J16" s="223">
        <v>5576</v>
      </c>
      <c r="K16" s="223">
        <v>5789</v>
      </c>
      <c r="L16" s="223">
        <v>5378</v>
      </c>
      <c r="M16" s="223">
        <v>5637</v>
      </c>
      <c r="N16" s="223">
        <v>5384</v>
      </c>
      <c r="O16" s="223">
        <v>5372</v>
      </c>
      <c r="P16" s="223">
        <v>5788</v>
      </c>
      <c r="Q16" s="223">
        <v>5497</v>
      </c>
      <c r="R16" s="223">
        <v>5444</v>
      </c>
      <c r="S16" s="223">
        <v>5200</v>
      </c>
      <c r="T16" s="223">
        <v>5132</v>
      </c>
      <c r="U16" s="223">
        <v>5110</v>
      </c>
      <c r="V16" s="223">
        <v>5019</v>
      </c>
      <c r="W16" s="223">
        <v>4996</v>
      </c>
      <c r="X16" s="223">
        <v>5064</v>
      </c>
      <c r="Y16" s="223">
        <v>4718</v>
      </c>
      <c r="Z16" s="223">
        <v>4822</v>
      </c>
      <c r="AA16" s="223">
        <v>4733</v>
      </c>
      <c r="AB16" s="52" t="s">
        <v>48</v>
      </c>
    </row>
    <row r="17" spans="1:28" ht="12.75" customHeight="1">
      <c r="A17" s="8"/>
      <c r="B17" s="10" t="s">
        <v>60</v>
      </c>
      <c r="C17" s="281"/>
      <c r="D17" s="282"/>
      <c r="E17" s="282">
        <v>933</v>
      </c>
      <c r="F17" s="282">
        <v>933</v>
      </c>
      <c r="G17" s="282">
        <v>933</v>
      </c>
      <c r="H17" s="282">
        <v>933</v>
      </c>
      <c r="I17" s="282">
        <v>720.1</v>
      </c>
      <c r="J17" s="282">
        <v>720.1</v>
      </c>
      <c r="K17" s="282">
        <v>720.1</v>
      </c>
      <c r="L17" s="282">
        <v>720.1</v>
      </c>
      <c r="M17" s="282">
        <v>720.1</v>
      </c>
      <c r="N17" s="282">
        <v>720.1</v>
      </c>
      <c r="O17" s="282">
        <v>804.1</v>
      </c>
      <c r="P17" s="282">
        <v>804.1</v>
      </c>
      <c r="Q17" s="282">
        <v>804.1</v>
      </c>
      <c r="R17" s="282">
        <v>804.1</v>
      </c>
      <c r="S17" s="282">
        <v>804.1</v>
      </c>
      <c r="T17" s="282">
        <v>804.1</v>
      </c>
      <c r="U17" s="282">
        <v>805.2</v>
      </c>
      <c r="V17" s="282">
        <v>1016.8</v>
      </c>
      <c r="W17" s="282">
        <v>1016.8</v>
      </c>
      <c r="X17" s="282">
        <v>1016.9</v>
      </c>
      <c r="Y17" s="282">
        <v>1016.9</v>
      </c>
      <c r="Z17" s="282">
        <v>1016.9</v>
      </c>
      <c r="AA17" s="282">
        <v>1016.9</v>
      </c>
      <c r="AB17" s="10" t="s">
        <v>60</v>
      </c>
    </row>
    <row r="18" spans="1:28" ht="12.75" customHeight="1">
      <c r="A18" s="8"/>
      <c r="B18" s="209" t="s">
        <v>50</v>
      </c>
      <c r="C18" s="284">
        <v>2337</v>
      </c>
      <c r="D18" s="230">
        <v>2337</v>
      </c>
      <c r="E18" s="230">
        <v>1366</v>
      </c>
      <c r="F18" s="230">
        <v>1466</v>
      </c>
      <c r="G18" s="230">
        <v>1466</v>
      </c>
      <c r="H18" s="230">
        <v>1463</v>
      </c>
      <c r="I18" s="230">
        <v>1477</v>
      </c>
      <c r="J18" s="230">
        <v>1477</v>
      </c>
      <c r="K18" s="230">
        <v>1477</v>
      </c>
      <c r="L18" s="230">
        <v>1477</v>
      </c>
      <c r="M18" s="230">
        <v>1477</v>
      </c>
      <c r="N18" s="230">
        <v>1562</v>
      </c>
      <c r="O18" s="230">
        <v>1562</v>
      </c>
      <c r="P18" s="230">
        <v>1562</v>
      </c>
      <c r="Q18" s="230">
        <v>1562</v>
      </c>
      <c r="R18" s="230">
        <v>1562</v>
      </c>
      <c r="S18" s="230">
        <v>1562</v>
      </c>
      <c r="T18" s="230">
        <v>1562</v>
      </c>
      <c r="U18" s="230">
        <v>1562</v>
      </c>
      <c r="V18" s="230">
        <v>1562</v>
      </c>
      <c r="W18" s="230">
        <v>1562</v>
      </c>
      <c r="X18" s="230">
        <v>1562</v>
      </c>
      <c r="Y18" s="230">
        <v>1562</v>
      </c>
      <c r="Z18" s="230">
        <v>1562</v>
      </c>
      <c r="AA18" s="230">
        <v>1562</v>
      </c>
      <c r="AB18" s="209" t="s">
        <v>50</v>
      </c>
    </row>
    <row r="19" spans="1:28" ht="12.75" customHeight="1">
      <c r="A19" s="8"/>
      <c r="B19" s="10" t="s">
        <v>29</v>
      </c>
      <c r="C19" s="281" t="s">
        <v>59</v>
      </c>
      <c r="D19" s="282" t="s">
        <v>59</v>
      </c>
      <c r="E19" s="282" t="s">
        <v>59</v>
      </c>
      <c r="F19" s="282" t="s">
        <v>59</v>
      </c>
      <c r="G19" s="282" t="s">
        <v>59</v>
      </c>
      <c r="H19" s="282" t="s">
        <v>59</v>
      </c>
      <c r="I19" s="282" t="s">
        <v>59</v>
      </c>
      <c r="J19" s="282" t="s">
        <v>59</v>
      </c>
      <c r="K19" s="282" t="s">
        <v>59</v>
      </c>
      <c r="L19" s="282" t="s">
        <v>59</v>
      </c>
      <c r="M19" s="282" t="s">
        <v>59</v>
      </c>
      <c r="N19" s="282" t="s">
        <v>59</v>
      </c>
      <c r="O19" s="282" t="s">
        <v>59</v>
      </c>
      <c r="P19" s="282" t="s">
        <v>59</v>
      </c>
      <c r="Q19" s="282" t="s">
        <v>59</v>
      </c>
      <c r="R19" s="282" t="s">
        <v>59</v>
      </c>
      <c r="S19" s="282" t="s">
        <v>59</v>
      </c>
      <c r="T19" s="282" t="s">
        <v>59</v>
      </c>
      <c r="U19" s="282" t="s">
        <v>59</v>
      </c>
      <c r="V19" s="282" t="s">
        <v>59</v>
      </c>
      <c r="W19" s="282" t="s">
        <v>59</v>
      </c>
      <c r="X19" s="282" t="s">
        <v>59</v>
      </c>
      <c r="Y19" s="282" t="s">
        <v>59</v>
      </c>
      <c r="Z19" s="282" t="s">
        <v>59</v>
      </c>
      <c r="AA19" s="282" t="s">
        <v>59</v>
      </c>
      <c r="AB19" s="10" t="s">
        <v>29</v>
      </c>
    </row>
    <row r="20" spans="1:28" ht="12.75" customHeight="1">
      <c r="A20" s="8"/>
      <c r="B20" s="209" t="s">
        <v>33</v>
      </c>
      <c r="C20" s="284"/>
      <c r="D20" s="230"/>
      <c r="E20" s="230" t="s">
        <v>59</v>
      </c>
      <c r="F20" s="230" t="s">
        <v>59</v>
      </c>
      <c r="G20" s="230" t="s">
        <v>59</v>
      </c>
      <c r="H20" s="230" t="s">
        <v>59</v>
      </c>
      <c r="I20" s="230" t="s">
        <v>59</v>
      </c>
      <c r="J20" s="230" t="s">
        <v>59</v>
      </c>
      <c r="K20" s="230" t="s">
        <v>59</v>
      </c>
      <c r="L20" s="230" t="s">
        <v>59</v>
      </c>
      <c r="M20" s="230" t="s">
        <v>59</v>
      </c>
      <c r="N20" s="230" t="s">
        <v>59</v>
      </c>
      <c r="O20" s="230" t="s">
        <v>59</v>
      </c>
      <c r="P20" s="230" t="s">
        <v>59</v>
      </c>
      <c r="Q20" s="230" t="s">
        <v>59</v>
      </c>
      <c r="R20" s="230" t="s">
        <v>59</v>
      </c>
      <c r="S20" s="230" t="s">
        <v>59</v>
      </c>
      <c r="T20" s="230" t="s">
        <v>59</v>
      </c>
      <c r="U20" s="230" t="s">
        <v>59</v>
      </c>
      <c r="V20" s="230" t="s">
        <v>59</v>
      </c>
      <c r="W20" s="230" t="s">
        <v>59</v>
      </c>
      <c r="X20" s="230" t="s">
        <v>59</v>
      </c>
      <c r="Y20" s="230" t="s">
        <v>59</v>
      </c>
      <c r="Z20" s="230" t="s">
        <v>59</v>
      </c>
      <c r="AA20" s="230" t="s">
        <v>59</v>
      </c>
      <c r="AB20" s="209" t="s">
        <v>33</v>
      </c>
    </row>
    <row r="21" spans="1:28" ht="12.75" customHeight="1">
      <c r="A21" s="8"/>
      <c r="B21" s="10" t="s">
        <v>34</v>
      </c>
      <c r="C21" s="281"/>
      <c r="D21" s="282"/>
      <c r="E21" s="282">
        <v>369</v>
      </c>
      <c r="F21" s="282">
        <v>369</v>
      </c>
      <c r="G21" s="282">
        <v>369</v>
      </c>
      <c r="H21" s="282">
        <v>369</v>
      </c>
      <c r="I21" s="282">
        <v>369</v>
      </c>
      <c r="J21" s="282">
        <v>369</v>
      </c>
      <c r="K21" s="282">
        <v>379.7</v>
      </c>
      <c r="L21" s="282">
        <v>281</v>
      </c>
      <c r="M21" s="282">
        <v>281</v>
      </c>
      <c r="N21" s="282">
        <v>290</v>
      </c>
      <c r="O21" s="282">
        <v>290</v>
      </c>
      <c r="P21" s="282">
        <v>290</v>
      </c>
      <c r="Q21" s="282">
        <v>441</v>
      </c>
      <c r="R21" s="282">
        <v>441</v>
      </c>
      <c r="S21" s="282">
        <v>441</v>
      </c>
      <c r="T21" s="282">
        <v>448</v>
      </c>
      <c r="U21" s="282">
        <v>448</v>
      </c>
      <c r="V21" s="282">
        <v>452</v>
      </c>
      <c r="W21" s="282">
        <v>452</v>
      </c>
      <c r="X21" s="282">
        <v>452</v>
      </c>
      <c r="Y21" s="282">
        <v>452</v>
      </c>
      <c r="Z21" s="282">
        <v>446</v>
      </c>
      <c r="AA21" s="282">
        <v>485</v>
      </c>
      <c r="AB21" s="10" t="s">
        <v>34</v>
      </c>
    </row>
    <row r="22" spans="1:28" ht="12.75" customHeight="1">
      <c r="A22" s="8"/>
      <c r="B22" s="209" t="s">
        <v>51</v>
      </c>
      <c r="C22" s="284">
        <v>37</v>
      </c>
      <c r="D22" s="230">
        <v>37</v>
      </c>
      <c r="E22" s="230">
        <v>37</v>
      </c>
      <c r="F22" s="230">
        <v>37</v>
      </c>
      <c r="G22" s="230">
        <v>37</v>
      </c>
      <c r="H22" s="230">
        <v>37</v>
      </c>
      <c r="I22" s="230">
        <v>37</v>
      </c>
      <c r="J22" s="230">
        <v>37</v>
      </c>
      <c r="K22" s="230">
        <v>37</v>
      </c>
      <c r="L22" s="230">
        <v>37</v>
      </c>
      <c r="M22" s="230">
        <v>37</v>
      </c>
      <c r="N22" s="230">
        <v>37</v>
      </c>
      <c r="O22" s="230">
        <v>37</v>
      </c>
      <c r="P22" s="230">
        <v>37</v>
      </c>
      <c r="Q22" s="230">
        <v>37</v>
      </c>
      <c r="R22" s="230">
        <v>37</v>
      </c>
      <c r="S22" s="230">
        <v>37</v>
      </c>
      <c r="T22" s="230">
        <v>37</v>
      </c>
      <c r="U22" s="268">
        <v>37</v>
      </c>
      <c r="V22" s="268">
        <v>37</v>
      </c>
      <c r="W22" s="268">
        <v>37</v>
      </c>
      <c r="X22" s="268">
        <v>37</v>
      </c>
      <c r="Y22" s="268">
        <v>37</v>
      </c>
      <c r="Z22" s="268">
        <v>37</v>
      </c>
      <c r="AA22" s="268">
        <v>37</v>
      </c>
      <c r="AB22" s="209" t="s">
        <v>51</v>
      </c>
    </row>
    <row r="23" spans="1:28" ht="12.75" customHeight="1">
      <c r="A23" s="8"/>
      <c r="B23" s="10" t="s">
        <v>32</v>
      </c>
      <c r="C23" s="281"/>
      <c r="D23" s="282"/>
      <c r="E23" s="282">
        <v>1373</v>
      </c>
      <c r="F23" s="282">
        <v>1373</v>
      </c>
      <c r="G23" s="282">
        <v>1373</v>
      </c>
      <c r="H23" s="282">
        <v>1373</v>
      </c>
      <c r="I23" s="282">
        <v>1373</v>
      </c>
      <c r="J23" s="282">
        <v>1373</v>
      </c>
      <c r="K23" s="282">
        <v>1373</v>
      </c>
      <c r="L23" s="282">
        <v>1484</v>
      </c>
      <c r="M23" s="282">
        <v>1440</v>
      </c>
      <c r="N23" s="282">
        <v>1440</v>
      </c>
      <c r="O23" s="282">
        <v>1439</v>
      </c>
      <c r="P23" s="282">
        <v>1587</v>
      </c>
      <c r="Q23" s="282">
        <v>1587</v>
      </c>
      <c r="R23" s="282">
        <v>1587</v>
      </c>
      <c r="S23" s="282">
        <v>1587</v>
      </c>
      <c r="T23" s="282">
        <v>1587</v>
      </c>
      <c r="U23" s="282">
        <v>1864.2</v>
      </c>
      <c r="V23" s="282">
        <v>1864.2</v>
      </c>
      <c r="W23" s="282">
        <v>1864.2</v>
      </c>
      <c r="X23" s="282">
        <v>1864</v>
      </c>
      <c r="Y23" s="282">
        <v>1864.1</v>
      </c>
      <c r="Z23" s="282">
        <v>1864.2</v>
      </c>
      <c r="AA23" s="282">
        <v>1864.2</v>
      </c>
      <c r="AB23" s="10" t="s">
        <v>32</v>
      </c>
    </row>
    <row r="24" spans="1:28" ht="12.75" customHeight="1">
      <c r="A24" s="8"/>
      <c r="B24" s="209" t="s">
        <v>35</v>
      </c>
      <c r="C24" s="284" t="s">
        <v>59</v>
      </c>
      <c r="D24" s="230" t="s">
        <v>59</v>
      </c>
      <c r="E24" s="230" t="s">
        <v>59</v>
      </c>
      <c r="F24" s="230" t="s">
        <v>59</v>
      </c>
      <c r="G24" s="230" t="s">
        <v>59</v>
      </c>
      <c r="H24" s="230" t="s">
        <v>59</v>
      </c>
      <c r="I24" s="230" t="s">
        <v>59</v>
      </c>
      <c r="J24" s="230" t="s">
        <v>59</v>
      </c>
      <c r="K24" s="230" t="s">
        <v>59</v>
      </c>
      <c r="L24" s="230" t="s">
        <v>59</v>
      </c>
      <c r="M24" s="230" t="s">
        <v>59</v>
      </c>
      <c r="N24" s="230" t="s">
        <v>59</v>
      </c>
      <c r="O24" s="230" t="s">
        <v>59</v>
      </c>
      <c r="P24" s="230" t="s">
        <v>59</v>
      </c>
      <c r="Q24" s="230" t="s">
        <v>59</v>
      </c>
      <c r="R24" s="230" t="s">
        <v>59</v>
      </c>
      <c r="S24" s="230" t="s">
        <v>59</v>
      </c>
      <c r="T24" s="230" t="s">
        <v>59</v>
      </c>
      <c r="U24" s="230" t="s">
        <v>59</v>
      </c>
      <c r="V24" s="230" t="s">
        <v>59</v>
      </c>
      <c r="W24" s="230" t="s">
        <v>59</v>
      </c>
      <c r="X24" s="230" t="s">
        <v>59</v>
      </c>
      <c r="Y24" s="230" t="s">
        <v>59</v>
      </c>
      <c r="Z24" s="230" t="s">
        <v>59</v>
      </c>
      <c r="AA24" s="230" t="s">
        <v>59</v>
      </c>
      <c r="AB24" s="209" t="s">
        <v>35</v>
      </c>
    </row>
    <row r="25" spans="1:28" ht="12.75" customHeight="1">
      <c r="A25" s="8"/>
      <c r="B25" s="10" t="s">
        <v>43</v>
      </c>
      <c r="C25" s="281">
        <v>5599</v>
      </c>
      <c r="D25" s="282">
        <v>4843</v>
      </c>
      <c r="E25" s="282">
        <v>5046</v>
      </c>
      <c r="F25" s="282">
        <v>5046</v>
      </c>
      <c r="G25" s="282">
        <v>5046</v>
      </c>
      <c r="H25" s="282">
        <v>5046</v>
      </c>
      <c r="I25" s="282">
        <v>5046</v>
      </c>
      <c r="J25" s="228">
        <v>5046</v>
      </c>
      <c r="K25" s="228">
        <v>6183</v>
      </c>
      <c r="L25" s="228">
        <v>6183</v>
      </c>
      <c r="M25" s="228">
        <v>6183</v>
      </c>
      <c r="N25" s="228">
        <v>6183</v>
      </c>
      <c r="O25" s="282">
        <v>6183</v>
      </c>
      <c r="P25" s="282">
        <v>6211</v>
      </c>
      <c r="Q25" s="282">
        <v>6215</v>
      </c>
      <c r="R25" s="282">
        <v>6215</v>
      </c>
      <c r="S25" s="282">
        <v>6214</v>
      </c>
      <c r="T25" s="282">
        <v>6220</v>
      </c>
      <c r="U25" s="282">
        <v>6219</v>
      </c>
      <c r="V25" s="282">
        <v>6237</v>
      </c>
      <c r="W25" s="282">
        <v>6242</v>
      </c>
      <c r="X25" s="282">
        <v>6251</v>
      </c>
      <c r="Y25" s="282">
        <v>6261</v>
      </c>
      <c r="Z25" s="282">
        <v>6256</v>
      </c>
      <c r="AA25" s="282">
        <v>6257</v>
      </c>
      <c r="AB25" s="10" t="s">
        <v>43</v>
      </c>
    </row>
    <row r="26" spans="1:28" ht="12.75" customHeight="1">
      <c r="A26" s="8"/>
      <c r="B26" s="209" t="s">
        <v>52</v>
      </c>
      <c r="C26" s="284">
        <v>350</v>
      </c>
      <c r="D26" s="230">
        <v>350</v>
      </c>
      <c r="E26" s="230">
        <v>351</v>
      </c>
      <c r="F26" s="230">
        <v>351</v>
      </c>
      <c r="G26" s="230">
        <v>351</v>
      </c>
      <c r="H26" s="230">
        <v>351</v>
      </c>
      <c r="I26" s="230">
        <v>351</v>
      </c>
      <c r="J26" s="230">
        <v>351</v>
      </c>
      <c r="K26" s="230">
        <v>351</v>
      </c>
      <c r="L26" s="230">
        <v>351</v>
      </c>
      <c r="M26" s="230">
        <v>351</v>
      </c>
      <c r="N26" s="230">
        <v>351</v>
      </c>
      <c r="O26" s="230">
        <v>351</v>
      </c>
      <c r="P26" s="230">
        <v>351</v>
      </c>
      <c r="Q26" s="230">
        <v>351</v>
      </c>
      <c r="R26" s="230">
        <v>351</v>
      </c>
      <c r="S26" s="230">
        <v>351</v>
      </c>
      <c r="T26" s="230">
        <v>351</v>
      </c>
      <c r="U26" s="230">
        <v>351</v>
      </c>
      <c r="V26" s="230">
        <v>351</v>
      </c>
      <c r="W26" s="230">
        <v>351</v>
      </c>
      <c r="X26" s="230">
        <v>351</v>
      </c>
      <c r="Y26" s="230">
        <v>351</v>
      </c>
      <c r="Z26" s="230">
        <v>351</v>
      </c>
      <c r="AA26" s="230">
        <v>351</v>
      </c>
      <c r="AB26" s="209" t="s">
        <v>52</v>
      </c>
    </row>
    <row r="27" spans="1:28" ht="12.75" customHeight="1">
      <c r="A27" s="8"/>
      <c r="B27" s="10" t="s">
        <v>36</v>
      </c>
      <c r="C27" s="281"/>
      <c r="D27" s="282"/>
      <c r="E27" s="282">
        <v>3997</v>
      </c>
      <c r="F27" s="282">
        <v>3980</v>
      </c>
      <c r="G27" s="282">
        <v>3812</v>
      </c>
      <c r="H27" s="282">
        <v>3812</v>
      </c>
      <c r="I27" s="282">
        <v>3812</v>
      </c>
      <c r="J27" s="282">
        <v>3813</v>
      </c>
      <c r="K27" s="282">
        <v>3813</v>
      </c>
      <c r="L27" s="282">
        <v>3812</v>
      </c>
      <c r="M27" s="282">
        <v>3640</v>
      </c>
      <c r="N27" s="282">
        <v>3643</v>
      </c>
      <c r="O27" s="282">
        <v>3638</v>
      </c>
      <c r="P27" s="282">
        <v>3638</v>
      </c>
      <c r="Q27" s="282">
        <v>3660</v>
      </c>
      <c r="R27" s="282">
        <v>3660</v>
      </c>
      <c r="S27" s="282">
        <v>3660</v>
      </c>
      <c r="T27" s="282">
        <v>3660</v>
      </c>
      <c r="U27" s="282">
        <v>3659.3</v>
      </c>
      <c r="V27" s="282">
        <v>3659.3</v>
      </c>
      <c r="W27" s="282">
        <v>3659.3</v>
      </c>
      <c r="X27" s="282">
        <v>3654.6</v>
      </c>
      <c r="Y27" s="282">
        <v>3654.6</v>
      </c>
      <c r="Z27" s="282">
        <v>3654.6</v>
      </c>
      <c r="AA27" s="282">
        <v>3654.6</v>
      </c>
      <c r="AB27" s="10" t="s">
        <v>36</v>
      </c>
    </row>
    <row r="28" spans="1:28" ht="12.75" customHeight="1">
      <c r="A28" s="8"/>
      <c r="B28" s="209" t="s">
        <v>53</v>
      </c>
      <c r="C28" s="230" t="s">
        <v>59</v>
      </c>
      <c r="D28" s="230" t="s">
        <v>59</v>
      </c>
      <c r="E28" s="230" t="s">
        <v>59</v>
      </c>
      <c r="F28" s="230" t="s">
        <v>59</v>
      </c>
      <c r="G28" s="230" t="s">
        <v>59</v>
      </c>
      <c r="H28" s="230" t="s">
        <v>59</v>
      </c>
      <c r="I28" s="230" t="s">
        <v>59</v>
      </c>
      <c r="J28" s="230" t="s">
        <v>59</v>
      </c>
      <c r="K28" s="230" t="s">
        <v>59</v>
      </c>
      <c r="L28" s="230" t="s">
        <v>59</v>
      </c>
      <c r="M28" s="230" t="s">
        <v>59</v>
      </c>
      <c r="N28" s="230" t="s">
        <v>59</v>
      </c>
      <c r="O28" s="230" t="s">
        <v>59</v>
      </c>
      <c r="P28" s="230" t="s">
        <v>59</v>
      </c>
      <c r="Q28" s="230" t="s">
        <v>59</v>
      </c>
      <c r="R28" s="230" t="s">
        <v>59</v>
      </c>
      <c r="S28" s="230" t="s">
        <v>59</v>
      </c>
      <c r="T28" s="230" t="s">
        <v>59</v>
      </c>
      <c r="U28" s="230" t="s">
        <v>59</v>
      </c>
      <c r="V28" s="230" t="s">
        <v>59</v>
      </c>
      <c r="W28" s="230" t="s">
        <v>59</v>
      </c>
      <c r="X28" s="230" t="s">
        <v>59</v>
      </c>
      <c r="Y28" s="230" t="s">
        <v>59</v>
      </c>
      <c r="Z28" s="230" t="s">
        <v>59</v>
      </c>
      <c r="AA28" s="230" t="s">
        <v>59</v>
      </c>
      <c r="AB28" s="209" t="s">
        <v>53</v>
      </c>
    </row>
    <row r="29" spans="1:28" ht="12.75" customHeight="1">
      <c r="A29" s="8"/>
      <c r="B29" s="10" t="s">
        <v>37</v>
      </c>
      <c r="C29" s="281"/>
      <c r="D29" s="282"/>
      <c r="E29" s="282">
        <v>1782</v>
      </c>
      <c r="F29" s="282">
        <v>1779</v>
      </c>
      <c r="G29" s="282">
        <v>1779</v>
      </c>
      <c r="H29" s="282">
        <v>1779</v>
      </c>
      <c r="I29" s="282">
        <v>1779</v>
      </c>
      <c r="J29" s="282">
        <v>1779</v>
      </c>
      <c r="K29" s="282">
        <v>1779</v>
      </c>
      <c r="L29" s="282">
        <v>1779</v>
      </c>
      <c r="M29" s="282">
        <v>1779</v>
      </c>
      <c r="N29" s="282">
        <v>1779</v>
      </c>
      <c r="O29" s="282">
        <v>1779</v>
      </c>
      <c r="P29" s="282">
        <v>1779</v>
      </c>
      <c r="Q29" s="282">
        <v>1779</v>
      </c>
      <c r="R29" s="282">
        <v>1779</v>
      </c>
      <c r="S29" s="282">
        <v>1779</v>
      </c>
      <c r="T29" s="282">
        <v>1779</v>
      </c>
      <c r="U29" s="282">
        <v>1779</v>
      </c>
      <c r="V29" s="282">
        <v>1779</v>
      </c>
      <c r="W29" s="282">
        <v>1779</v>
      </c>
      <c r="X29" s="282">
        <v>1779</v>
      </c>
      <c r="Y29" s="282">
        <v>1779</v>
      </c>
      <c r="Z29" s="282">
        <v>1779</v>
      </c>
      <c r="AA29" s="228">
        <v>1779</v>
      </c>
      <c r="AB29" s="10" t="s">
        <v>37</v>
      </c>
    </row>
    <row r="30" spans="1:28" ht="12.75" customHeight="1">
      <c r="A30" s="8"/>
      <c r="B30" s="209" t="s">
        <v>39</v>
      </c>
      <c r="C30" s="284" t="s">
        <v>59</v>
      </c>
      <c r="D30" s="230" t="s">
        <v>59</v>
      </c>
      <c r="E30" s="230" t="s">
        <v>59</v>
      </c>
      <c r="F30" s="230" t="s">
        <v>59</v>
      </c>
      <c r="G30" s="230" t="s">
        <v>59</v>
      </c>
      <c r="H30" s="230" t="s">
        <v>59</v>
      </c>
      <c r="I30" s="230" t="s">
        <v>59</v>
      </c>
      <c r="J30" s="230" t="s">
        <v>59</v>
      </c>
      <c r="K30" s="230" t="s">
        <v>59</v>
      </c>
      <c r="L30" s="230" t="s">
        <v>59</v>
      </c>
      <c r="M30" s="230" t="s">
        <v>59</v>
      </c>
      <c r="N30" s="230" t="s">
        <v>59</v>
      </c>
      <c r="O30" s="230" t="s">
        <v>59</v>
      </c>
      <c r="P30" s="230" t="s">
        <v>59</v>
      </c>
      <c r="Q30" s="230" t="s">
        <v>59</v>
      </c>
      <c r="R30" s="230" t="s">
        <v>59</v>
      </c>
      <c r="S30" s="230" t="s">
        <v>59</v>
      </c>
      <c r="T30" s="230" t="s">
        <v>59</v>
      </c>
      <c r="U30" s="230" t="s">
        <v>59</v>
      </c>
      <c r="V30" s="230" t="s">
        <v>59</v>
      </c>
      <c r="W30" s="230" t="s">
        <v>59</v>
      </c>
      <c r="X30" s="230" t="s">
        <v>59</v>
      </c>
      <c r="Y30" s="230" t="s">
        <v>59</v>
      </c>
      <c r="Z30" s="230" t="s">
        <v>59</v>
      </c>
      <c r="AA30" s="230" t="s">
        <v>59</v>
      </c>
      <c r="AB30" s="209" t="s">
        <v>39</v>
      </c>
    </row>
    <row r="31" spans="1:28" ht="12.75" customHeight="1">
      <c r="A31" s="8"/>
      <c r="B31" s="10" t="s">
        <v>38</v>
      </c>
      <c r="C31" s="285"/>
      <c r="D31" s="305"/>
      <c r="E31" s="305">
        <v>2379</v>
      </c>
      <c r="F31" s="282">
        <v>172</v>
      </c>
      <c r="G31" s="282">
        <v>172</v>
      </c>
      <c r="H31" s="282">
        <v>172</v>
      </c>
      <c r="I31" s="282">
        <v>172</v>
      </c>
      <c r="J31" s="282">
        <v>172</v>
      </c>
      <c r="K31" s="282">
        <v>172</v>
      </c>
      <c r="L31" s="282">
        <v>172</v>
      </c>
      <c r="M31" s="282">
        <v>172</v>
      </c>
      <c r="N31" s="282">
        <v>172</v>
      </c>
      <c r="O31" s="282">
        <v>172</v>
      </c>
      <c r="P31" s="282">
        <v>172</v>
      </c>
      <c r="Q31" s="282">
        <v>172</v>
      </c>
      <c r="R31" s="282">
        <v>172</v>
      </c>
      <c r="S31" s="282">
        <v>172</v>
      </c>
      <c r="T31" s="282">
        <v>172</v>
      </c>
      <c r="U31" s="282">
        <v>172</v>
      </c>
      <c r="V31" s="282">
        <v>172</v>
      </c>
      <c r="W31" s="282">
        <v>172</v>
      </c>
      <c r="X31" s="282">
        <v>172</v>
      </c>
      <c r="Y31" s="282">
        <v>172</v>
      </c>
      <c r="Z31" s="282">
        <v>172</v>
      </c>
      <c r="AA31" s="282">
        <v>172</v>
      </c>
      <c r="AB31" s="10" t="s">
        <v>38</v>
      </c>
    </row>
    <row r="32" spans="1:28" ht="12.75" customHeight="1">
      <c r="A32" s="8"/>
      <c r="B32" s="209" t="s">
        <v>54</v>
      </c>
      <c r="C32" s="284">
        <v>6000</v>
      </c>
      <c r="D32" s="230">
        <v>6057</v>
      </c>
      <c r="E32" s="230">
        <v>6072</v>
      </c>
      <c r="F32" s="230">
        <v>6120</v>
      </c>
      <c r="G32" s="230">
        <v>6120</v>
      </c>
      <c r="H32" s="230">
        <v>6245</v>
      </c>
      <c r="I32" s="230">
        <v>7787</v>
      </c>
      <c r="J32" s="230">
        <v>7842</v>
      </c>
      <c r="K32" s="230">
        <v>7842</v>
      </c>
      <c r="L32" s="230">
        <v>7872</v>
      </c>
      <c r="M32" s="230">
        <v>7872</v>
      </c>
      <c r="N32" s="230">
        <v>7884</v>
      </c>
      <c r="O32" s="230">
        <v>8018</v>
      </c>
      <c r="P32" s="230">
        <v>8029</v>
      </c>
      <c r="Q32" s="230">
        <v>8045</v>
      </c>
      <c r="R32" s="230">
        <v>8049</v>
      </c>
      <c r="S32" s="230">
        <v>7983</v>
      </c>
      <c r="T32" s="230">
        <v>8002</v>
      </c>
      <c r="U32" s="230">
        <v>8006</v>
      </c>
      <c r="V32" s="230">
        <v>8013</v>
      </c>
      <c r="W32" s="230">
        <v>8014</v>
      </c>
      <c r="X32" s="230">
        <v>8052</v>
      </c>
      <c r="Y32" s="230">
        <v>8052</v>
      </c>
      <c r="Z32" s="230">
        <v>8127</v>
      </c>
      <c r="AA32" s="329">
        <v>8136</v>
      </c>
      <c r="AB32" s="209" t="s">
        <v>54</v>
      </c>
    </row>
    <row r="33" spans="1:28" ht="12.75" customHeight="1">
      <c r="A33" s="8"/>
      <c r="B33" s="10" t="s">
        <v>55</v>
      </c>
      <c r="C33" s="282" t="s">
        <v>59</v>
      </c>
      <c r="D33" s="282" t="s">
        <v>59</v>
      </c>
      <c r="E33" s="282" t="s">
        <v>59</v>
      </c>
      <c r="F33" s="282" t="s">
        <v>59</v>
      </c>
      <c r="G33" s="282" t="s">
        <v>59</v>
      </c>
      <c r="H33" s="282" t="s">
        <v>59</v>
      </c>
      <c r="I33" s="282" t="s">
        <v>59</v>
      </c>
      <c r="J33" s="282" t="s">
        <v>59</v>
      </c>
      <c r="K33" s="282" t="s">
        <v>59</v>
      </c>
      <c r="L33" s="282" t="s">
        <v>59</v>
      </c>
      <c r="M33" s="282" t="s">
        <v>59</v>
      </c>
      <c r="N33" s="282" t="s">
        <v>59</v>
      </c>
      <c r="O33" s="282" t="s">
        <v>59</v>
      </c>
      <c r="P33" s="282" t="s">
        <v>59</v>
      </c>
      <c r="Q33" s="282" t="s">
        <v>59</v>
      </c>
      <c r="R33" s="282" t="s">
        <v>59</v>
      </c>
      <c r="S33" s="282" t="s">
        <v>59</v>
      </c>
      <c r="T33" s="282" t="s">
        <v>59</v>
      </c>
      <c r="U33" s="282" t="s">
        <v>59</v>
      </c>
      <c r="V33" s="282" t="s">
        <v>59</v>
      </c>
      <c r="W33" s="282" t="s">
        <v>59</v>
      </c>
      <c r="X33" s="282" t="s">
        <v>59</v>
      </c>
      <c r="Y33" s="282" t="s">
        <v>59</v>
      </c>
      <c r="Z33" s="282" t="s">
        <v>59</v>
      </c>
      <c r="AA33" s="282" t="s">
        <v>59</v>
      </c>
      <c r="AB33" s="10" t="s">
        <v>55</v>
      </c>
    </row>
    <row r="34" spans="1:28" ht="12.75" customHeight="1">
      <c r="A34" s="8"/>
      <c r="B34" s="209" t="s">
        <v>44</v>
      </c>
      <c r="C34" s="284">
        <v>1631</v>
      </c>
      <c r="D34" s="230">
        <v>1631</v>
      </c>
      <c r="E34" s="230">
        <v>1631</v>
      </c>
      <c r="F34" s="230">
        <v>1153</v>
      </c>
      <c r="G34" s="230">
        <v>1153</v>
      </c>
      <c r="H34" s="230">
        <v>1153</v>
      </c>
      <c r="I34" s="230">
        <v>1153</v>
      </c>
      <c r="J34" s="230">
        <v>1153</v>
      </c>
      <c r="K34" s="230">
        <v>1153</v>
      </c>
      <c r="L34" s="230">
        <v>1153</v>
      </c>
      <c r="M34" s="230">
        <v>1065</v>
      </c>
      <c r="N34" s="230">
        <v>1065</v>
      </c>
      <c r="O34" s="230">
        <v>1065</v>
      </c>
      <c r="P34" s="230">
        <v>1065</v>
      </c>
      <c r="Q34" s="230">
        <v>1065</v>
      </c>
      <c r="R34" s="230">
        <v>1050</v>
      </c>
      <c r="S34" s="230">
        <v>1050</v>
      </c>
      <c r="T34" s="230">
        <v>1050</v>
      </c>
      <c r="U34" s="230">
        <v>1050</v>
      </c>
      <c r="V34" s="230">
        <v>1050</v>
      </c>
      <c r="W34" s="230">
        <v>1050</v>
      </c>
      <c r="X34" s="230">
        <v>1050</v>
      </c>
      <c r="Y34" s="230">
        <v>1050</v>
      </c>
      <c r="Z34" s="230">
        <v>1050</v>
      </c>
      <c r="AA34" s="230">
        <v>1050</v>
      </c>
      <c r="AB34" s="209" t="s">
        <v>44</v>
      </c>
    </row>
    <row r="35" spans="1:28" ht="12.75" customHeight="1">
      <c r="A35" s="8"/>
      <c r="B35" s="9" t="s">
        <v>123</v>
      </c>
      <c r="C35" s="330" t="s">
        <v>59</v>
      </c>
      <c r="D35" s="276" t="s">
        <v>59</v>
      </c>
      <c r="E35" s="276" t="s">
        <v>59</v>
      </c>
      <c r="F35" s="276" t="s">
        <v>59</v>
      </c>
      <c r="G35" s="276" t="s">
        <v>59</v>
      </c>
      <c r="H35" s="276" t="s">
        <v>59</v>
      </c>
      <c r="I35" s="276" t="s">
        <v>59</v>
      </c>
      <c r="J35" s="276" t="s">
        <v>59</v>
      </c>
      <c r="K35" s="276" t="s">
        <v>59</v>
      </c>
      <c r="L35" s="276" t="s">
        <v>59</v>
      </c>
      <c r="M35" s="276" t="s">
        <v>59</v>
      </c>
      <c r="N35" s="276" t="s">
        <v>59</v>
      </c>
      <c r="O35" s="276" t="s">
        <v>59</v>
      </c>
      <c r="P35" s="276" t="s">
        <v>59</v>
      </c>
      <c r="Q35" s="276" t="s">
        <v>59</v>
      </c>
      <c r="R35" s="276" t="s">
        <v>59</v>
      </c>
      <c r="S35" s="276" t="s">
        <v>59</v>
      </c>
      <c r="T35" s="276" t="s">
        <v>59</v>
      </c>
      <c r="U35" s="276" t="s">
        <v>59</v>
      </c>
      <c r="V35" s="276" t="s">
        <v>59</v>
      </c>
      <c r="W35" s="276" t="s">
        <v>59</v>
      </c>
      <c r="X35" s="276" t="s">
        <v>59</v>
      </c>
      <c r="Y35" s="276" t="s">
        <v>59</v>
      </c>
      <c r="Z35" s="276" t="s">
        <v>59</v>
      </c>
      <c r="AA35" s="276" t="s">
        <v>59</v>
      </c>
      <c r="AB35" s="9" t="s">
        <v>123</v>
      </c>
    </row>
    <row r="36" spans="1:28" ht="12.75" customHeight="1">
      <c r="A36" s="8"/>
      <c r="B36" s="209" t="s">
        <v>121</v>
      </c>
      <c r="C36" s="284" t="s">
        <v>59</v>
      </c>
      <c r="D36" s="230" t="s">
        <v>59</v>
      </c>
      <c r="E36" s="230" t="s">
        <v>59</v>
      </c>
      <c r="F36" s="230" t="s">
        <v>59</v>
      </c>
      <c r="G36" s="230" t="s">
        <v>59</v>
      </c>
      <c r="H36" s="230" t="s">
        <v>59</v>
      </c>
      <c r="I36" s="230" t="s">
        <v>59</v>
      </c>
      <c r="J36" s="230" t="s">
        <v>59</v>
      </c>
      <c r="K36" s="230" t="s">
        <v>59</v>
      </c>
      <c r="L36" s="230" t="s">
        <v>59</v>
      </c>
      <c r="M36" s="230" t="s">
        <v>59</v>
      </c>
      <c r="N36" s="230" t="s">
        <v>59</v>
      </c>
      <c r="O36" s="230" t="s">
        <v>59</v>
      </c>
      <c r="P36" s="230" t="s">
        <v>59</v>
      </c>
      <c r="Q36" s="230" t="s">
        <v>59</v>
      </c>
      <c r="R36" s="230" t="s">
        <v>59</v>
      </c>
      <c r="S36" s="230" t="s">
        <v>59</v>
      </c>
      <c r="T36" s="230" t="s">
        <v>59</v>
      </c>
      <c r="U36" s="230" t="s">
        <v>59</v>
      </c>
      <c r="V36" s="230" t="s">
        <v>59</v>
      </c>
      <c r="W36" s="230" t="s">
        <v>59</v>
      </c>
      <c r="X36" s="230" t="s">
        <v>59</v>
      </c>
      <c r="Y36" s="230" t="s">
        <v>59</v>
      </c>
      <c r="Z36" s="230" t="s">
        <v>59</v>
      </c>
      <c r="AA36" s="230" t="s">
        <v>59</v>
      </c>
      <c r="AB36" s="209" t="s">
        <v>121</v>
      </c>
    </row>
    <row r="37" spans="1:28" ht="12.75" customHeight="1">
      <c r="A37" s="8"/>
      <c r="B37" s="10" t="s">
        <v>1</v>
      </c>
      <c r="C37" s="281" t="s">
        <v>59</v>
      </c>
      <c r="D37" s="282" t="s">
        <v>59</v>
      </c>
      <c r="E37" s="282" t="s">
        <v>59</v>
      </c>
      <c r="F37" s="282" t="s">
        <v>59</v>
      </c>
      <c r="G37" s="282" t="s">
        <v>59</v>
      </c>
      <c r="H37" s="282" t="s">
        <v>59</v>
      </c>
      <c r="I37" s="282" t="s">
        <v>59</v>
      </c>
      <c r="J37" s="282" t="s">
        <v>59</v>
      </c>
      <c r="K37" s="282" t="s">
        <v>59</v>
      </c>
      <c r="L37" s="282" t="s">
        <v>59</v>
      </c>
      <c r="M37" s="282" t="s">
        <v>59</v>
      </c>
      <c r="N37" s="282" t="s">
        <v>59</v>
      </c>
      <c r="O37" s="282" t="s">
        <v>59</v>
      </c>
      <c r="P37" s="282" t="s">
        <v>59</v>
      </c>
      <c r="Q37" s="282" t="s">
        <v>59</v>
      </c>
      <c r="R37" s="282" t="s">
        <v>59</v>
      </c>
      <c r="S37" s="282" t="s">
        <v>59</v>
      </c>
      <c r="T37" s="282" t="s">
        <v>59</v>
      </c>
      <c r="U37" s="282" t="s">
        <v>59</v>
      </c>
      <c r="V37" s="282" t="s">
        <v>59</v>
      </c>
      <c r="W37" s="282" t="s">
        <v>59</v>
      </c>
      <c r="X37" s="282" t="s">
        <v>59</v>
      </c>
      <c r="Y37" s="282" t="s">
        <v>59</v>
      </c>
      <c r="Z37" s="282" t="s">
        <v>59</v>
      </c>
      <c r="AA37" s="282" t="s">
        <v>59</v>
      </c>
      <c r="AB37" s="10" t="s">
        <v>1</v>
      </c>
    </row>
    <row r="38" spans="1:28" ht="12.75" customHeight="1">
      <c r="A38" s="8"/>
      <c r="B38" s="209" t="s">
        <v>122</v>
      </c>
      <c r="C38" s="284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68"/>
      <c r="S38" s="268"/>
      <c r="T38" s="268"/>
      <c r="U38" s="230">
        <v>1364</v>
      </c>
      <c r="V38" s="230">
        <v>1364</v>
      </c>
      <c r="W38" s="230">
        <v>1593</v>
      </c>
      <c r="X38" s="230">
        <v>1593</v>
      </c>
      <c r="Y38" s="230">
        <v>1593</v>
      </c>
      <c r="Z38" s="230">
        <v>1593</v>
      </c>
      <c r="AA38" s="230">
        <v>1593</v>
      </c>
      <c r="AB38" s="209" t="s">
        <v>122</v>
      </c>
    </row>
    <row r="39" spans="1:28" ht="12.75" customHeight="1">
      <c r="A39" s="8"/>
      <c r="B39" s="12" t="s">
        <v>40</v>
      </c>
      <c r="C39" s="289" t="s">
        <v>59</v>
      </c>
      <c r="D39" s="290" t="s">
        <v>59</v>
      </c>
      <c r="E39" s="290" t="s">
        <v>59</v>
      </c>
      <c r="F39" s="290" t="s">
        <v>59</v>
      </c>
      <c r="G39" s="290" t="s">
        <v>59</v>
      </c>
      <c r="H39" s="290" t="s">
        <v>59</v>
      </c>
      <c r="I39" s="290" t="s">
        <v>59</v>
      </c>
      <c r="J39" s="290" t="s">
        <v>59</v>
      </c>
      <c r="K39" s="290" t="s">
        <v>59</v>
      </c>
      <c r="L39" s="290" t="s">
        <v>59</v>
      </c>
      <c r="M39" s="290" t="s">
        <v>59</v>
      </c>
      <c r="N39" s="290" t="s">
        <v>59</v>
      </c>
      <c r="O39" s="290" t="s">
        <v>59</v>
      </c>
      <c r="P39" s="290" t="s">
        <v>59</v>
      </c>
      <c r="Q39" s="290" t="s">
        <v>59</v>
      </c>
      <c r="R39" s="290" t="s">
        <v>59</v>
      </c>
      <c r="S39" s="290" t="s">
        <v>59</v>
      </c>
      <c r="T39" s="290" t="s">
        <v>59</v>
      </c>
      <c r="U39" s="290" t="s">
        <v>59</v>
      </c>
      <c r="V39" s="290" t="s">
        <v>59</v>
      </c>
      <c r="W39" s="290" t="s">
        <v>59</v>
      </c>
      <c r="X39" s="290" t="s">
        <v>59</v>
      </c>
      <c r="Y39" s="290" t="s">
        <v>59</v>
      </c>
      <c r="Z39" s="290" t="s">
        <v>59</v>
      </c>
      <c r="AA39" s="290" t="s">
        <v>59</v>
      </c>
      <c r="AB39" s="12" t="s">
        <v>40</v>
      </c>
    </row>
    <row r="40" spans="1:28" ht="12.75" customHeight="1">
      <c r="A40" s="8"/>
      <c r="B40" s="269" t="s">
        <v>26</v>
      </c>
      <c r="C40" s="284" t="s">
        <v>59</v>
      </c>
      <c r="D40" s="230" t="s">
        <v>59</v>
      </c>
      <c r="E40" s="230" t="s">
        <v>59</v>
      </c>
      <c r="F40" s="230" t="s">
        <v>59</v>
      </c>
      <c r="G40" s="230" t="s">
        <v>59</v>
      </c>
      <c r="H40" s="230" t="s">
        <v>59</v>
      </c>
      <c r="I40" s="230" t="s">
        <v>59</v>
      </c>
      <c r="J40" s="230" t="s">
        <v>59</v>
      </c>
      <c r="K40" s="230" t="s">
        <v>59</v>
      </c>
      <c r="L40" s="230" t="s">
        <v>59</v>
      </c>
      <c r="M40" s="230" t="s">
        <v>59</v>
      </c>
      <c r="N40" s="230" t="s">
        <v>59</v>
      </c>
      <c r="O40" s="230" t="s">
        <v>59</v>
      </c>
      <c r="P40" s="230" t="s">
        <v>59</v>
      </c>
      <c r="Q40" s="230" t="s">
        <v>59</v>
      </c>
      <c r="R40" s="230" t="s">
        <v>59</v>
      </c>
      <c r="S40" s="230" t="s">
        <v>59</v>
      </c>
      <c r="T40" s="230" t="s">
        <v>59</v>
      </c>
      <c r="U40" s="230" t="s">
        <v>59</v>
      </c>
      <c r="V40" s="230" t="s">
        <v>59</v>
      </c>
      <c r="W40" s="230" t="s">
        <v>59</v>
      </c>
      <c r="X40" s="230" t="s">
        <v>59</v>
      </c>
      <c r="Y40" s="230" t="s">
        <v>59</v>
      </c>
      <c r="Z40" s="230" t="s">
        <v>59</v>
      </c>
      <c r="AA40" s="230" t="s">
        <v>59</v>
      </c>
      <c r="AB40" s="269" t="s">
        <v>26</v>
      </c>
    </row>
    <row r="41" spans="1:28" ht="12.75" customHeight="1">
      <c r="A41" s="8"/>
      <c r="B41" s="10" t="s">
        <v>56</v>
      </c>
      <c r="C41" s="281" t="s">
        <v>59</v>
      </c>
      <c r="D41" s="282" t="s">
        <v>59</v>
      </c>
      <c r="E41" s="282" t="s">
        <v>59</v>
      </c>
      <c r="F41" s="282" t="s">
        <v>59</v>
      </c>
      <c r="G41" s="282" t="s">
        <v>59</v>
      </c>
      <c r="H41" s="282" t="s">
        <v>59</v>
      </c>
      <c r="I41" s="282" t="s">
        <v>59</v>
      </c>
      <c r="J41" s="282" t="s">
        <v>59</v>
      </c>
      <c r="K41" s="282" t="s">
        <v>59</v>
      </c>
      <c r="L41" s="282" t="s">
        <v>59</v>
      </c>
      <c r="M41" s="282" t="s">
        <v>59</v>
      </c>
      <c r="N41" s="282" t="s">
        <v>59</v>
      </c>
      <c r="O41" s="282" t="s">
        <v>59</v>
      </c>
      <c r="P41" s="282" t="s">
        <v>59</v>
      </c>
      <c r="Q41" s="282" t="s">
        <v>59</v>
      </c>
      <c r="R41" s="282" t="s">
        <v>59</v>
      </c>
      <c r="S41" s="282" t="s">
        <v>59</v>
      </c>
      <c r="T41" s="282" t="s">
        <v>59</v>
      </c>
      <c r="U41" s="282" t="s">
        <v>59</v>
      </c>
      <c r="V41" s="282" t="s">
        <v>59</v>
      </c>
      <c r="W41" s="282" t="s">
        <v>59</v>
      </c>
      <c r="X41" s="282" t="s">
        <v>59</v>
      </c>
      <c r="Y41" s="282" t="s">
        <v>59</v>
      </c>
      <c r="Z41" s="282" t="s">
        <v>59</v>
      </c>
      <c r="AA41" s="282" t="s">
        <v>59</v>
      </c>
      <c r="AB41" s="10" t="s">
        <v>56</v>
      </c>
    </row>
    <row r="42" spans="1:28" ht="12.75" customHeight="1">
      <c r="A42" s="8"/>
      <c r="B42" s="232" t="s">
        <v>27</v>
      </c>
      <c r="C42" s="331" t="s">
        <v>59</v>
      </c>
      <c r="D42" s="319" t="s">
        <v>59</v>
      </c>
      <c r="E42" s="319" t="s">
        <v>59</v>
      </c>
      <c r="F42" s="230" t="s">
        <v>59</v>
      </c>
      <c r="G42" s="230" t="s">
        <v>59</v>
      </c>
      <c r="H42" s="230" t="s">
        <v>59</v>
      </c>
      <c r="I42" s="230" t="s">
        <v>59</v>
      </c>
      <c r="J42" s="230" t="s">
        <v>59</v>
      </c>
      <c r="K42" s="230" t="s">
        <v>59</v>
      </c>
      <c r="L42" s="230" t="s">
        <v>59</v>
      </c>
      <c r="M42" s="230" t="s">
        <v>59</v>
      </c>
      <c r="N42" s="230" t="s">
        <v>59</v>
      </c>
      <c r="O42" s="230" t="s">
        <v>59</v>
      </c>
      <c r="P42" s="230" t="s">
        <v>59</v>
      </c>
      <c r="Q42" s="230" t="s">
        <v>59</v>
      </c>
      <c r="R42" s="230" t="s">
        <v>59</v>
      </c>
      <c r="S42" s="230" t="s">
        <v>59</v>
      </c>
      <c r="T42" s="230" t="s">
        <v>59</v>
      </c>
      <c r="U42" s="230" t="s">
        <v>59</v>
      </c>
      <c r="V42" s="230" t="s">
        <v>59</v>
      </c>
      <c r="W42" s="230" t="s">
        <v>59</v>
      </c>
      <c r="X42" s="230" t="s">
        <v>59</v>
      </c>
      <c r="Y42" s="230" t="s">
        <v>59</v>
      </c>
      <c r="Z42" s="230" t="s">
        <v>59</v>
      </c>
      <c r="AA42" s="230" t="s">
        <v>59</v>
      </c>
      <c r="AB42" s="232" t="s">
        <v>27</v>
      </c>
    </row>
    <row r="43" spans="1:28" ht="12.75" customHeight="1">
      <c r="A43" s="8"/>
      <c r="B43" s="398" t="s">
        <v>120</v>
      </c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</row>
    <row r="44" spans="1:28" ht="12.75" customHeight="1">
      <c r="A44" s="8"/>
      <c r="B44" s="206" t="s">
        <v>130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</row>
    <row r="45" spans="4:28" ht="15" customHeight="1">
      <c r="D45" s="39"/>
      <c r="E45" s="39"/>
      <c r="F45" s="39"/>
      <c r="G45" s="39"/>
      <c r="H45" s="39"/>
      <c r="I45" s="39"/>
      <c r="J45" s="39"/>
      <c r="K45" s="39"/>
      <c r="L45" s="39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</row>
    <row r="46" ht="12.75" customHeight="1"/>
  </sheetData>
  <sheetProtection/>
  <mergeCells count="4">
    <mergeCell ref="B1:C1"/>
    <mergeCell ref="B2:AB2"/>
    <mergeCell ref="B3:AB3"/>
    <mergeCell ref="B43:AB4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PageLayoutView="0" workbookViewId="0" topLeftCell="AA1">
      <selection activeCell="AU16" sqref="AU16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5" width="6.7109375" style="0" customWidth="1"/>
    <col min="6" max="9" width="5.7109375" style="0" customWidth="1"/>
    <col min="10" max="10" width="6.7109375" style="0" customWidth="1"/>
    <col min="11" max="14" width="5.7109375" style="0" customWidth="1"/>
    <col min="15" max="19" width="6.7109375" style="0" customWidth="1"/>
    <col min="20" max="22" width="7.28125" style="0" customWidth="1"/>
    <col min="23" max="24" width="7.28125" style="1" customWidth="1"/>
    <col min="25" max="31" width="7.28125" style="0" customWidth="1"/>
    <col min="32" max="32" width="5.57421875" style="0" customWidth="1"/>
  </cols>
  <sheetData>
    <row r="1" spans="1:32" ht="14.25" customHeight="1">
      <c r="A1" s="1"/>
      <c r="B1" s="397"/>
      <c r="C1" s="397"/>
      <c r="D1" s="28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AF1" s="18" t="s">
        <v>114</v>
      </c>
    </row>
    <row r="2" spans="1:32" ht="30" customHeight="1">
      <c r="A2" s="1"/>
      <c r="B2" s="400" t="s">
        <v>24</v>
      </c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</row>
    <row r="3" spans="1:32" ht="15" customHeight="1">
      <c r="A3" s="1"/>
      <c r="B3" s="440" t="s">
        <v>25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</row>
    <row r="4" spans="2:31" ht="12.75">
      <c r="B4" s="3"/>
      <c r="C4" s="35"/>
      <c r="D4" s="36"/>
      <c r="E4" s="208"/>
      <c r="F4" s="208"/>
      <c r="G4" s="208"/>
      <c r="H4" s="208"/>
      <c r="I4" s="208"/>
      <c r="J4" s="23"/>
      <c r="K4" s="23"/>
      <c r="L4" s="23"/>
      <c r="M4" s="23"/>
      <c r="N4" s="23"/>
      <c r="O4" s="23"/>
      <c r="V4" s="158"/>
      <c r="W4" s="158"/>
      <c r="X4" s="158"/>
      <c r="Y4" s="158"/>
      <c r="Z4" s="158"/>
      <c r="AA4" s="158"/>
      <c r="AB4" s="158"/>
      <c r="AC4" s="158"/>
      <c r="AD4" s="158"/>
      <c r="AE4" s="80" t="s">
        <v>5</v>
      </c>
    </row>
    <row r="5" spans="2:32" ht="15" customHeight="1">
      <c r="B5" s="164"/>
      <c r="C5" s="162">
        <v>1970</v>
      </c>
      <c r="D5" s="162">
        <v>1980</v>
      </c>
      <c r="E5" s="162">
        <v>1990</v>
      </c>
      <c r="F5" s="49">
        <v>1991</v>
      </c>
      <c r="G5" s="49">
        <v>1992</v>
      </c>
      <c r="H5" s="49">
        <v>1993</v>
      </c>
      <c r="I5" s="49">
        <v>1994</v>
      </c>
      <c r="J5" s="49">
        <v>1995</v>
      </c>
      <c r="K5" s="49">
        <v>1996</v>
      </c>
      <c r="L5" s="49">
        <v>1997</v>
      </c>
      <c r="M5" s="49">
        <v>1998</v>
      </c>
      <c r="N5" s="49">
        <v>1999</v>
      </c>
      <c r="O5" s="49">
        <v>2000</v>
      </c>
      <c r="P5" s="49">
        <v>2001</v>
      </c>
      <c r="Q5" s="49">
        <v>2002</v>
      </c>
      <c r="R5" s="49">
        <v>2003</v>
      </c>
      <c r="S5" s="49">
        <v>2004</v>
      </c>
      <c r="T5" s="49">
        <v>2005</v>
      </c>
      <c r="U5" s="49">
        <v>2006</v>
      </c>
      <c r="V5" s="49">
        <v>2007</v>
      </c>
      <c r="W5" s="49">
        <v>2008</v>
      </c>
      <c r="X5" s="49">
        <v>2009</v>
      </c>
      <c r="Y5" s="49">
        <v>2010</v>
      </c>
      <c r="Z5" s="49">
        <v>2011</v>
      </c>
      <c r="AA5" s="49">
        <v>2012</v>
      </c>
      <c r="AB5" s="49">
        <v>2013</v>
      </c>
      <c r="AC5" s="49">
        <v>2014</v>
      </c>
      <c r="AD5" s="49">
        <v>2015</v>
      </c>
      <c r="AE5" s="358">
        <v>2016</v>
      </c>
      <c r="AF5" s="7"/>
    </row>
    <row r="6" spans="2:32" ht="12.75" customHeight="1">
      <c r="B6" s="368" t="s">
        <v>124</v>
      </c>
      <c r="C6" s="389"/>
      <c r="D6" s="389"/>
      <c r="E6" s="389"/>
      <c r="F6" s="363"/>
      <c r="G6" s="363"/>
      <c r="H6" s="363"/>
      <c r="I6" s="379"/>
      <c r="J6" s="379">
        <f aca="true" t="shared" si="0" ref="J6:S6">SUM(J7:J34)</f>
        <v>31967</v>
      </c>
      <c r="K6" s="159">
        <f t="shared" si="0"/>
        <v>32108</v>
      </c>
      <c r="L6" s="159">
        <f t="shared" si="0"/>
        <v>33267</v>
      </c>
      <c r="M6" s="159">
        <f t="shared" si="0"/>
        <v>33380</v>
      </c>
      <c r="N6" s="159">
        <f t="shared" si="0"/>
        <v>34478</v>
      </c>
      <c r="O6" s="159">
        <f t="shared" si="0"/>
        <v>34532</v>
      </c>
      <c r="P6" s="159">
        <f t="shared" si="0"/>
        <v>34950</v>
      </c>
      <c r="Q6" s="159">
        <f t="shared" si="0"/>
        <v>34762</v>
      </c>
      <c r="R6" s="159">
        <f t="shared" si="0"/>
        <v>35131</v>
      </c>
      <c r="S6" s="159">
        <f t="shared" si="0"/>
        <v>34510</v>
      </c>
      <c r="T6" s="159">
        <f aca="true" t="shared" si="1" ref="T6:Y6">SUM(T7:T34)</f>
        <v>35839</v>
      </c>
      <c r="U6" s="159">
        <f t="shared" si="1"/>
        <v>36286</v>
      </c>
      <c r="V6" s="159">
        <f t="shared" si="1"/>
        <v>36556</v>
      </c>
      <c r="W6" s="159">
        <f t="shared" si="1"/>
        <v>36734</v>
      </c>
      <c r="X6" s="159">
        <f t="shared" si="1"/>
        <v>36760</v>
      </c>
      <c r="Y6" s="159">
        <f t="shared" si="1"/>
        <v>36979</v>
      </c>
      <c r="Z6" s="159">
        <f aca="true" t="shared" si="2" ref="Z6:AE6">SUM(Z7:Z34)</f>
        <v>36876</v>
      </c>
      <c r="AA6" s="159">
        <f t="shared" si="2"/>
        <v>36557.7</v>
      </c>
      <c r="AB6" s="160">
        <f t="shared" si="2"/>
        <v>36488</v>
      </c>
      <c r="AC6" s="160">
        <f t="shared" si="2"/>
        <v>36887.6</v>
      </c>
      <c r="AD6" s="160">
        <f t="shared" si="2"/>
        <v>36016.6</v>
      </c>
      <c r="AE6" s="380">
        <f t="shared" si="2"/>
        <v>36005.6</v>
      </c>
      <c r="AF6" s="382" t="s">
        <v>124</v>
      </c>
    </row>
    <row r="7" spans="1:32" ht="12.75" customHeight="1">
      <c r="A7" s="8"/>
      <c r="B7" s="10" t="s">
        <v>45</v>
      </c>
      <c r="C7" s="332">
        <v>52</v>
      </c>
      <c r="D7" s="332">
        <v>458</v>
      </c>
      <c r="E7" s="332">
        <v>301</v>
      </c>
      <c r="F7" s="282">
        <v>294</v>
      </c>
      <c r="G7" s="282">
        <v>294</v>
      </c>
      <c r="H7" s="282">
        <v>294</v>
      </c>
      <c r="I7" s="228">
        <v>294</v>
      </c>
      <c r="J7" s="228">
        <v>294</v>
      </c>
      <c r="K7" s="310">
        <v>294</v>
      </c>
      <c r="L7" s="310">
        <v>294</v>
      </c>
      <c r="M7" s="310">
        <v>294</v>
      </c>
      <c r="N7" s="310">
        <v>294</v>
      </c>
      <c r="O7" s="310">
        <v>294</v>
      </c>
      <c r="P7" s="310">
        <v>294</v>
      </c>
      <c r="Q7" s="310">
        <v>294</v>
      </c>
      <c r="R7" s="310">
        <v>294</v>
      </c>
      <c r="S7" s="310">
        <v>294</v>
      </c>
      <c r="T7" s="310">
        <v>294</v>
      </c>
      <c r="U7" s="310">
        <v>294</v>
      </c>
      <c r="V7" s="310">
        <v>294</v>
      </c>
      <c r="W7" s="310">
        <v>294</v>
      </c>
      <c r="X7" s="310">
        <v>294</v>
      </c>
      <c r="Y7" s="310">
        <v>294</v>
      </c>
      <c r="Z7" s="310">
        <v>294</v>
      </c>
      <c r="AA7" s="310">
        <v>294</v>
      </c>
      <c r="AB7" s="310">
        <v>294</v>
      </c>
      <c r="AC7" s="310">
        <v>294</v>
      </c>
      <c r="AD7" s="310">
        <v>294</v>
      </c>
      <c r="AE7" s="310">
        <v>294</v>
      </c>
      <c r="AF7" s="9" t="s">
        <v>45</v>
      </c>
    </row>
    <row r="8" spans="1:32" ht="12.75" customHeight="1">
      <c r="A8" s="8"/>
      <c r="B8" s="52" t="s">
        <v>28</v>
      </c>
      <c r="C8" s="333" t="s">
        <v>57</v>
      </c>
      <c r="D8" s="333" t="s">
        <v>57</v>
      </c>
      <c r="E8" s="333">
        <v>578</v>
      </c>
      <c r="F8" s="223">
        <v>578</v>
      </c>
      <c r="G8" s="223">
        <v>578</v>
      </c>
      <c r="H8" s="223">
        <v>578</v>
      </c>
      <c r="I8" s="223">
        <v>578</v>
      </c>
      <c r="J8" s="223">
        <v>578</v>
      </c>
      <c r="K8" s="223">
        <v>578</v>
      </c>
      <c r="L8" s="223">
        <v>578</v>
      </c>
      <c r="M8" s="223">
        <v>578</v>
      </c>
      <c r="N8" s="223">
        <v>578</v>
      </c>
      <c r="O8" s="223">
        <v>578</v>
      </c>
      <c r="P8" s="223">
        <v>578</v>
      </c>
      <c r="Q8" s="223">
        <v>578</v>
      </c>
      <c r="R8" s="223">
        <v>578</v>
      </c>
      <c r="S8" s="223">
        <v>578</v>
      </c>
      <c r="T8" s="223">
        <v>578</v>
      </c>
      <c r="U8" s="223">
        <v>578</v>
      </c>
      <c r="V8" s="223">
        <v>578</v>
      </c>
      <c r="W8" s="223">
        <v>603</v>
      </c>
      <c r="X8" s="223">
        <v>608</v>
      </c>
      <c r="Y8" s="223">
        <v>578</v>
      </c>
      <c r="Z8" s="223">
        <v>578</v>
      </c>
      <c r="AA8" s="223">
        <v>578</v>
      </c>
      <c r="AB8" s="223">
        <v>578</v>
      </c>
      <c r="AC8" s="223">
        <v>570</v>
      </c>
      <c r="AD8" s="223">
        <v>570</v>
      </c>
      <c r="AE8" s="223">
        <v>570</v>
      </c>
      <c r="AF8" s="52" t="s">
        <v>28</v>
      </c>
    </row>
    <row r="9" spans="1:32" ht="12.75" customHeight="1">
      <c r="A9" s="8"/>
      <c r="B9" s="10" t="s">
        <v>30</v>
      </c>
      <c r="C9" s="332"/>
      <c r="D9" s="332"/>
      <c r="E9" s="332"/>
      <c r="F9" s="282"/>
      <c r="G9" s="282"/>
      <c r="H9" s="282">
        <v>568</v>
      </c>
      <c r="I9" s="282">
        <v>568</v>
      </c>
      <c r="J9" s="282">
        <v>581</v>
      </c>
      <c r="K9" s="282">
        <v>736</v>
      </c>
      <c r="L9" s="282">
        <v>736</v>
      </c>
      <c r="M9" s="282">
        <v>736</v>
      </c>
      <c r="N9" s="282">
        <v>736</v>
      </c>
      <c r="O9" s="282">
        <v>675</v>
      </c>
      <c r="P9" s="282">
        <v>675</v>
      </c>
      <c r="Q9" s="282">
        <v>675</v>
      </c>
      <c r="R9" s="282">
        <v>675</v>
      </c>
      <c r="S9" s="282">
        <v>675</v>
      </c>
      <c r="T9" s="282">
        <v>675</v>
      </c>
      <c r="U9" s="282">
        <v>675</v>
      </c>
      <c r="V9" s="282">
        <v>675</v>
      </c>
      <c r="W9" s="282">
        <v>675</v>
      </c>
      <c r="X9" s="282">
        <v>675</v>
      </c>
      <c r="Y9" s="282">
        <v>674</v>
      </c>
      <c r="Z9" s="282">
        <v>674</v>
      </c>
      <c r="AA9" s="282">
        <v>674</v>
      </c>
      <c r="AB9" s="282">
        <v>674</v>
      </c>
      <c r="AC9" s="282">
        <v>674</v>
      </c>
      <c r="AD9" s="282">
        <v>642</v>
      </c>
      <c r="AE9" s="282">
        <v>642</v>
      </c>
      <c r="AF9" s="10" t="s">
        <v>30</v>
      </c>
    </row>
    <row r="10" spans="1:32" ht="12.75" customHeight="1">
      <c r="A10" s="8"/>
      <c r="B10" s="52" t="s">
        <v>41</v>
      </c>
      <c r="C10" s="334" t="s">
        <v>59</v>
      </c>
      <c r="D10" s="333">
        <v>77</v>
      </c>
      <c r="E10" s="333">
        <v>444</v>
      </c>
      <c r="F10" s="223">
        <v>444</v>
      </c>
      <c r="G10" s="223">
        <v>409</v>
      </c>
      <c r="H10" s="223">
        <v>336</v>
      </c>
      <c r="I10" s="223">
        <v>336</v>
      </c>
      <c r="J10" s="223">
        <v>330</v>
      </c>
      <c r="K10" s="223">
        <v>330</v>
      </c>
      <c r="L10" s="223">
        <v>330</v>
      </c>
      <c r="M10" s="223">
        <v>330</v>
      </c>
      <c r="N10" s="223">
        <v>330</v>
      </c>
      <c r="O10" s="223">
        <v>330</v>
      </c>
      <c r="P10" s="223">
        <v>330</v>
      </c>
      <c r="Q10" s="223">
        <v>330</v>
      </c>
      <c r="R10" s="223">
        <v>330</v>
      </c>
      <c r="S10" s="223">
        <v>330</v>
      </c>
      <c r="T10" s="223">
        <v>330</v>
      </c>
      <c r="U10" s="223">
        <v>330</v>
      </c>
      <c r="V10" s="223">
        <v>330</v>
      </c>
      <c r="W10" s="223">
        <v>330</v>
      </c>
      <c r="X10" s="223">
        <v>330</v>
      </c>
      <c r="Y10" s="223">
        <v>330</v>
      </c>
      <c r="Z10" s="223">
        <v>330</v>
      </c>
      <c r="AA10" s="223">
        <v>330</v>
      </c>
      <c r="AB10" s="223">
        <v>330</v>
      </c>
      <c r="AC10" s="223">
        <v>330</v>
      </c>
      <c r="AD10" s="223">
        <v>330</v>
      </c>
      <c r="AE10" s="223">
        <v>330</v>
      </c>
      <c r="AF10" s="52" t="s">
        <v>41</v>
      </c>
    </row>
    <row r="11" spans="1:32" ht="12.75" customHeight="1">
      <c r="A11" s="8"/>
      <c r="B11" s="10" t="s">
        <v>46</v>
      </c>
      <c r="C11" s="332">
        <v>2058</v>
      </c>
      <c r="D11" s="332">
        <v>2222</v>
      </c>
      <c r="E11" s="332">
        <v>2222</v>
      </c>
      <c r="F11" s="282">
        <v>3318</v>
      </c>
      <c r="G11" s="282">
        <v>3318</v>
      </c>
      <c r="H11" s="282">
        <v>3318</v>
      </c>
      <c r="I11" s="335">
        <v>2460</v>
      </c>
      <c r="J11" s="282">
        <v>2460</v>
      </c>
      <c r="K11" s="282">
        <v>2460</v>
      </c>
      <c r="L11" s="282">
        <v>2460</v>
      </c>
      <c r="M11" s="282">
        <v>2370</v>
      </c>
      <c r="N11" s="282">
        <v>2370</v>
      </c>
      <c r="O11" s="282">
        <v>2370</v>
      </c>
      <c r="P11" s="282">
        <v>2370</v>
      </c>
      <c r="Q11" s="282">
        <v>2370</v>
      </c>
      <c r="R11" s="282">
        <v>2370</v>
      </c>
      <c r="S11" s="282">
        <v>2370</v>
      </c>
      <c r="T11" s="282">
        <v>2370</v>
      </c>
      <c r="U11" s="282">
        <v>2370</v>
      </c>
      <c r="V11" s="282">
        <v>2370</v>
      </c>
      <c r="W11" s="282">
        <v>2370</v>
      </c>
      <c r="X11" s="282">
        <v>2370</v>
      </c>
      <c r="Y11" s="282">
        <v>2370</v>
      </c>
      <c r="Z11" s="282">
        <v>2370</v>
      </c>
      <c r="AA11" s="282">
        <v>2370</v>
      </c>
      <c r="AB11" s="282">
        <v>2370</v>
      </c>
      <c r="AC11" s="282">
        <v>2370</v>
      </c>
      <c r="AD11" s="282">
        <v>2370</v>
      </c>
      <c r="AE11" s="282">
        <v>2370</v>
      </c>
      <c r="AF11" s="10" t="s">
        <v>46</v>
      </c>
    </row>
    <row r="12" spans="1:32" ht="12.75" customHeight="1">
      <c r="A12" s="8"/>
      <c r="B12" s="52" t="s">
        <v>31</v>
      </c>
      <c r="C12" s="333" t="s">
        <v>59</v>
      </c>
      <c r="D12" s="333" t="s">
        <v>59</v>
      </c>
      <c r="E12" s="333" t="s">
        <v>59</v>
      </c>
      <c r="F12" s="223" t="s">
        <v>59</v>
      </c>
      <c r="G12" s="223" t="s">
        <v>59</v>
      </c>
      <c r="H12" s="223" t="s">
        <v>59</v>
      </c>
      <c r="I12" s="223" t="s">
        <v>59</v>
      </c>
      <c r="J12" s="223" t="s">
        <v>59</v>
      </c>
      <c r="K12" s="223" t="s">
        <v>59</v>
      </c>
      <c r="L12" s="223" t="s">
        <v>59</v>
      </c>
      <c r="M12" s="223" t="s">
        <v>59</v>
      </c>
      <c r="N12" s="223" t="s">
        <v>59</v>
      </c>
      <c r="O12" s="223" t="s">
        <v>59</v>
      </c>
      <c r="P12" s="223" t="s">
        <v>59</v>
      </c>
      <c r="Q12" s="223" t="s">
        <v>59</v>
      </c>
      <c r="R12" s="223" t="s">
        <v>59</v>
      </c>
      <c r="S12" s="223" t="s">
        <v>59</v>
      </c>
      <c r="T12" s="223" t="s">
        <v>59</v>
      </c>
      <c r="U12" s="223" t="s">
        <v>59</v>
      </c>
      <c r="V12" s="223" t="s">
        <v>59</v>
      </c>
      <c r="W12" s="223" t="s">
        <v>59</v>
      </c>
      <c r="X12" s="223" t="s">
        <v>59</v>
      </c>
      <c r="Y12" s="223" t="s">
        <v>59</v>
      </c>
      <c r="Z12" s="223" t="s">
        <v>59</v>
      </c>
      <c r="AA12" s="223" t="s">
        <v>59</v>
      </c>
      <c r="AB12" s="223" t="s">
        <v>59</v>
      </c>
      <c r="AC12" s="223" t="s">
        <v>59</v>
      </c>
      <c r="AD12" s="223" t="s">
        <v>59</v>
      </c>
      <c r="AE12" s="223" t="s">
        <v>59</v>
      </c>
      <c r="AF12" s="52" t="s">
        <v>31</v>
      </c>
    </row>
    <row r="13" spans="1:32" ht="12.75" customHeight="1">
      <c r="A13" s="8"/>
      <c r="B13" s="10" t="s">
        <v>49</v>
      </c>
      <c r="C13" s="332" t="s">
        <v>59</v>
      </c>
      <c r="D13" s="332" t="s">
        <v>59</v>
      </c>
      <c r="E13" s="332" t="s">
        <v>59</v>
      </c>
      <c r="F13" s="282" t="s">
        <v>59</v>
      </c>
      <c r="G13" s="282" t="s">
        <v>59</v>
      </c>
      <c r="H13" s="282" t="s">
        <v>59</v>
      </c>
      <c r="I13" s="282" t="s">
        <v>59</v>
      </c>
      <c r="J13" s="282" t="s">
        <v>59</v>
      </c>
      <c r="K13" s="282" t="s">
        <v>59</v>
      </c>
      <c r="L13" s="282" t="s">
        <v>59</v>
      </c>
      <c r="M13" s="282" t="s">
        <v>59</v>
      </c>
      <c r="N13" s="282" t="s">
        <v>59</v>
      </c>
      <c r="O13" s="282" t="s">
        <v>59</v>
      </c>
      <c r="P13" s="282" t="s">
        <v>59</v>
      </c>
      <c r="Q13" s="282" t="s">
        <v>59</v>
      </c>
      <c r="R13" s="282" t="s">
        <v>59</v>
      </c>
      <c r="S13" s="282" t="s">
        <v>59</v>
      </c>
      <c r="T13" s="282" t="s">
        <v>59</v>
      </c>
      <c r="U13" s="282" t="s">
        <v>59</v>
      </c>
      <c r="V13" s="282" t="s">
        <v>59</v>
      </c>
      <c r="W13" s="282" t="s">
        <v>59</v>
      </c>
      <c r="X13" s="282" t="s">
        <v>59</v>
      </c>
      <c r="Y13" s="282" t="s">
        <v>59</v>
      </c>
      <c r="Z13" s="282" t="s">
        <v>59</v>
      </c>
      <c r="AA13" s="282" t="s">
        <v>59</v>
      </c>
      <c r="AB13" s="282" t="s">
        <v>59</v>
      </c>
      <c r="AC13" s="282" t="s">
        <v>59</v>
      </c>
      <c r="AD13" s="282" t="s">
        <v>59</v>
      </c>
      <c r="AE13" s="282" t="s">
        <v>59</v>
      </c>
      <c r="AF13" s="10" t="s">
        <v>49</v>
      </c>
    </row>
    <row r="14" spans="1:32" ht="12.75" customHeight="1">
      <c r="A14" s="8"/>
      <c r="B14" s="52" t="s">
        <v>42</v>
      </c>
      <c r="C14" s="333" t="s">
        <v>59</v>
      </c>
      <c r="D14" s="333" t="s">
        <v>59</v>
      </c>
      <c r="E14" s="333" t="s">
        <v>59</v>
      </c>
      <c r="F14" s="223" t="s">
        <v>59</v>
      </c>
      <c r="G14" s="223" t="s">
        <v>59</v>
      </c>
      <c r="H14" s="223" t="s">
        <v>59</v>
      </c>
      <c r="I14" s="223" t="s">
        <v>59</v>
      </c>
      <c r="J14" s="223" t="s">
        <v>59</v>
      </c>
      <c r="K14" s="223" t="s">
        <v>59</v>
      </c>
      <c r="L14" s="223" t="s">
        <v>59</v>
      </c>
      <c r="M14" s="223" t="s">
        <v>59</v>
      </c>
      <c r="N14" s="223" t="s">
        <v>59</v>
      </c>
      <c r="O14" s="223" t="s">
        <v>59</v>
      </c>
      <c r="P14" s="223" t="s">
        <v>59</v>
      </c>
      <c r="Q14" s="223" t="s">
        <v>59</v>
      </c>
      <c r="R14" s="223" t="s">
        <v>59</v>
      </c>
      <c r="S14" s="223">
        <v>267</v>
      </c>
      <c r="T14" s="223">
        <v>267</v>
      </c>
      <c r="U14" s="223">
        <v>267</v>
      </c>
      <c r="V14" s="223">
        <v>267</v>
      </c>
      <c r="W14" s="223">
        <v>267</v>
      </c>
      <c r="X14" s="90">
        <v>267</v>
      </c>
      <c r="Y14" s="90">
        <v>267</v>
      </c>
      <c r="Z14" s="90">
        <v>267</v>
      </c>
      <c r="AA14" s="90">
        <v>267</v>
      </c>
      <c r="AB14" s="90">
        <v>267</v>
      </c>
      <c r="AC14" s="90">
        <v>267</v>
      </c>
      <c r="AD14" s="90">
        <v>267</v>
      </c>
      <c r="AE14" s="90">
        <v>267</v>
      </c>
      <c r="AF14" s="52" t="s">
        <v>42</v>
      </c>
    </row>
    <row r="15" spans="1:32" ht="12.75" customHeight="1">
      <c r="A15" s="8"/>
      <c r="B15" s="10" t="s">
        <v>47</v>
      </c>
      <c r="C15" s="332">
        <v>930</v>
      </c>
      <c r="D15" s="332">
        <v>1753</v>
      </c>
      <c r="E15" s="332">
        <v>2678</v>
      </c>
      <c r="F15" s="282">
        <v>3097</v>
      </c>
      <c r="G15" s="282">
        <v>3536</v>
      </c>
      <c r="H15" s="282">
        <v>3536</v>
      </c>
      <c r="I15" s="282">
        <v>3536</v>
      </c>
      <c r="J15" s="282">
        <v>3691</v>
      </c>
      <c r="K15" s="282">
        <v>3691</v>
      </c>
      <c r="L15" s="282">
        <v>3691</v>
      </c>
      <c r="M15" s="282">
        <v>3691</v>
      </c>
      <c r="N15" s="282">
        <v>3698</v>
      </c>
      <c r="O15" s="282">
        <v>3780</v>
      </c>
      <c r="P15" s="282">
        <v>3779</v>
      </c>
      <c r="Q15" s="282">
        <v>3784</v>
      </c>
      <c r="R15" s="282">
        <v>3784</v>
      </c>
      <c r="S15" s="282">
        <v>3831</v>
      </c>
      <c r="T15" s="282">
        <v>3833</v>
      </c>
      <c r="U15" s="282">
        <v>3841</v>
      </c>
      <c r="V15" s="282">
        <v>3904</v>
      </c>
      <c r="W15" s="282">
        <v>4195</v>
      </c>
      <c r="X15" s="282">
        <v>4213</v>
      </c>
      <c r="Y15" s="282">
        <v>4365</v>
      </c>
      <c r="Z15" s="282">
        <v>4722</v>
      </c>
      <c r="AA15" s="282">
        <v>4743</v>
      </c>
      <c r="AB15" s="282">
        <v>4735</v>
      </c>
      <c r="AC15" s="282">
        <v>4735</v>
      </c>
      <c r="AD15" s="282">
        <v>4736</v>
      </c>
      <c r="AE15" s="282">
        <v>4736</v>
      </c>
      <c r="AF15" s="10" t="s">
        <v>47</v>
      </c>
    </row>
    <row r="16" spans="1:32" ht="12.75" customHeight="1">
      <c r="A16" s="8"/>
      <c r="B16" s="52" t="s">
        <v>48</v>
      </c>
      <c r="C16" s="333">
        <v>3609</v>
      </c>
      <c r="D16" s="333">
        <v>5254</v>
      </c>
      <c r="E16" s="333">
        <v>4948</v>
      </c>
      <c r="F16" s="223">
        <v>4871</v>
      </c>
      <c r="G16" s="223">
        <v>4871</v>
      </c>
      <c r="H16" s="223">
        <v>4830</v>
      </c>
      <c r="I16" s="223">
        <v>4830</v>
      </c>
      <c r="J16" s="223">
        <v>4983</v>
      </c>
      <c r="K16" s="223">
        <v>4983</v>
      </c>
      <c r="L16" s="223">
        <v>5746</v>
      </c>
      <c r="M16" s="223">
        <v>5746</v>
      </c>
      <c r="N16" s="223">
        <v>5746</v>
      </c>
      <c r="O16" s="223">
        <v>5746</v>
      </c>
      <c r="P16" s="223">
        <v>5746</v>
      </c>
      <c r="Q16" s="223">
        <v>5746</v>
      </c>
      <c r="R16" s="223">
        <v>5746</v>
      </c>
      <c r="S16" s="223">
        <v>5746</v>
      </c>
      <c r="T16" s="223">
        <v>5746</v>
      </c>
      <c r="U16" s="223">
        <v>5746</v>
      </c>
      <c r="V16" s="223">
        <v>6332</v>
      </c>
      <c r="W16" s="223">
        <v>6196</v>
      </c>
      <c r="X16" s="223">
        <v>6199</v>
      </c>
      <c r="Y16" s="223">
        <v>6293</v>
      </c>
      <c r="Z16" s="223">
        <v>7600</v>
      </c>
      <c r="AA16" s="223">
        <v>7493</v>
      </c>
      <c r="AB16" s="223">
        <v>7416</v>
      </c>
      <c r="AC16" s="223">
        <v>7696</v>
      </c>
      <c r="AD16" s="223">
        <v>7142</v>
      </c>
      <c r="AE16" s="223">
        <f>1376+762+627+2200+1796+260+94+27</f>
        <v>7142</v>
      </c>
      <c r="AF16" s="52" t="s">
        <v>48</v>
      </c>
    </row>
    <row r="17" spans="1:32" ht="12.75" customHeight="1">
      <c r="A17" s="8"/>
      <c r="B17" s="10" t="s">
        <v>60</v>
      </c>
      <c r="C17" s="332"/>
      <c r="D17" s="332"/>
      <c r="E17" s="332">
        <v>865</v>
      </c>
      <c r="F17" s="282"/>
      <c r="G17" s="282"/>
      <c r="H17" s="282"/>
      <c r="I17" s="282"/>
      <c r="J17" s="282">
        <v>601</v>
      </c>
      <c r="K17" s="282">
        <v>601</v>
      </c>
      <c r="L17" s="282">
        <v>601</v>
      </c>
      <c r="M17" s="282">
        <v>601</v>
      </c>
      <c r="N17" s="282">
        <v>601</v>
      </c>
      <c r="O17" s="282">
        <v>601</v>
      </c>
      <c r="P17" s="282">
        <v>601</v>
      </c>
      <c r="Q17" s="282">
        <v>601</v>
      </c>
      <c r="R17" s="282">
        <v>601</v>
      </c>
      <c r="S17" s="282">
        <v>601</v>
      </c>
      <c r="T17" s="282">
        <v>610</v>
      </c>
      <c r="U17" s="282">
        <v>610</v>
      </c>
      <c r="V17" s="282">
        <v>610</v>
      </c>
      <c r="W17" s="282">
        <v>610</v>
      </c>
      <c r="X17" s="282">
        <v>610</v>
      </c>
      <c r="Y17" s="282">
        <v>610</v>
      </c>
      <c r="Z17" s="282">
        <v>610</v>
      </c>
      <c r="AA17" s="282">
        <v>610</v>
      </c>
      <c r="AB17" s="282">
        <v>610</v>
      </c>
      <c r="AC17" s="282">
        <v>610</v>
      </c>
      <c r="AD17" s="282">
        <v>610</v>
      </c>
      <c r="AE17" s="282">
        <v>610</v>
      </c>
      <c r="AF17" s="10" t="s">
        <v>60</v>
      </c>
    </row>
    <row r="18" spans="1:32" ht="12.75" customHeight="1">
      <c r="A18" s="8"/>
      <c r="B18" s="209" t="s">
        <v>50</v>
      </c>
      <c r="C18" s="336">
        <v>1939</v>
      </c>
      <c r="D18" s="336">
        <v>3069</v>
      </c>
      <c r="E18" s="336">
        <v>4086</v>
      </c>
      <c r="F18" s="230">
        <v>4098</v>
      </c>
      <c r="G18" s="230">
        <v>4235</v>
      </c>
      <c r="H18" s="230">
        <v>4235</v>
      </c>
      <c r="I18" s="230">
        <v>4235</v>
      </c>
      <c r="J18" s="230">
        <v>4235</v>
      </c>
      <c r="K18" s="230">
        <v>4233</v>
      </c>
      <c r="L18" s="230">
        <v>4145</v>
      </c>
      <c r="M18" s="230">
        <v>4331</v>
      </c>
      <c r="N18" s="230">
        <v>4364</v>
      </c>
      <c r="O18" s="230">
        <v>4346</v>
      </c>
      <c r="P18" s="230">
        <v>4358</v>
      </c>
      <c r="Q18" s="230">
        <v>4283</v>
      </c>
      <c r="R18" s="230">
        <v>4377</v>
      </c>
      <c r="S18" s="230">
        <v>4370</v>
      </c>
      <c r="T18" s="230">
        <v>4328</v>
      </c>
      <c r="U18" s="230">
        <v>4336</v>
      </c>
      <c r="V18" s="230">
        <v>4359</v>
      </c>
      <c r="W18" s="230">
        <v>4360</v>
      </c>
      <c r="X18" s="230">
        <v>4291</v>
      </c>
      <c r="Y18" s="230">
        <v>4291</v>
      </c>
      <c r="Z18" s="230">
        <v>4290</v>
      </c>
      <c r="AA18" s="230">
        <v>4290</v>
      </c>
      <c r="AB18" s="230">
        <v>4303</v>
      </c>
      <c r="AC18" s="230">
        <v>4308</v>
      </c>
      <c r="AD18" s="230">
        <v>4022</v>
      </c>
      <c r="AE18" s="230">
        <v>4012</v>
      </c>
      <c r="AF18" s="209" t="s">
        <v>50</v>
      </c>
    </row>
    <row r="19" spans="1:32" ht="12.75" customHeight="1">
      <c r="A19" s="8"/>
      <c r="B19" s="10" t="s">
        <v>29</v>
      </c>
      <c r="C19" s="332" t="s">
        <v>59</v>
      </c>
      <c r="D19" s="332" t="s">
        <v>59</v>
      </c>
      <c r="E19" s="332" t="s">
        <v>59</v>
      </c>
      <c r="F19" s="282" t="s">
        <v>59</v>
      </c>
      <c r="G19" s="282" t="s">
        <v>59</v>
      </c>
      <c r="H19" s="282" t="s">
        <v>59</v>
      </c>
      <c r="I19" s="282" t="s">
        <v>59</v>
      </c>
      <c r="J19" s="282" t="s">
        <v>59</v>
      </c>
      <c r="K19" s="282" t="s">
        <v>59</v>
      </c>
      <c r="L19" s="282" t="s">
        <v>59</v>
      </c>
      <c r="M19" s="282" t="s">
        <v>59</v>
      </c>
      <c r="N19" s="282" t="s">
        <v>59</v>
      </c>
      <c r="O19" s="282" t="s">
        <v>59</v>
      </c>
      <c r="P19" s="282" t="s">
        <v>59</v>
      </c>
      <c r="Q19" s="282" t="s">
        <v>59</v>
      </c>
      <c r="R19" s="282" t="s">
        <v>59</v>
      </c>
      <c r="S19" s="282" t="s">
        <v>59</v>
      </c>
      <c r="T19" s="282" t="s">
        <v>59</v>
      </c>
      <c r="U19" s="282" t="s">
        <v>59</v>
      </c>
      <c r="V19" s="282" t="s">
        <v>59</v>
      </c>
      <c r="W19" s="282" t="s">
        <v>59</v>
      </c>
      <c r="X19" s="282" t="s">
        <v>59</v>
      </c>
      <c r="Y19" s="282" t="s">
        <v>59</v>
      </c>
      <c r="Z19" s="282" t="s">
        <v>59</v>
      </c>
      <c r="AA19" s="282" t="s">
        <v>59</v>
      </c>
      <c r="AB19" s="282" t="s">
        <v>59</v>
      </c>
      <c r="AC19" s="282" t="s">
        <v>59</v>
      </c>
      <c r="AD19" s="282" t="s">
        <v>59</v>
      </c>
      <c r="AE19" s="282" t="s">
        <v>59</v>
      </c>
      <c r="AF19" s="10" t="s">
        <v>29</v>
      </c>
    </row>
    <row r="20" spans="1:32" ht="12.75" customHeight="1">
      <c r="A20" s="8"/>
      <c r="B20" s="209" t="s">
        <v>33</v>
      </c>
      <c r="C20" s="336" t="s">
        <v>57</v>
      </c>
      <c r="D20" s="336" t="s">
        <v>57</v>
      </c>
      <c r="E20" s="336">
        <v>766</v>
      </c>
      <c r="F20" s="230">
        <v>766</v>
      </c>
      <c r="G20" s="230">
        <v>766</v>
      </c>
      <c r="H20" s="230">
        <v>755</v>
      </c>
      <c r="I20" s="230">
        <v>766</v>
      </c>
      <c r="J20" s="230">
        <v>766</v>
      </c>
      <c r="K20" s="230">
        <v>766</v>
      </c>
      <c r="L20" s="230">
        <v>766</v>
      </c>
      <c r="M20" s="230">
        <v>766</v>
      </c>
      <c r="N20" s="230">
        <v>766</v>
      </c>
      <c r="O20" s="230">
        <v>766</v>
      </c>
      <c r="P20" s="230">
        <v>766</v>
      </c>
      <c r="Q20" s="230">
        <v>766</v>
      </c>
      <c r="R20" s="230">
        <v>766</v>
      </c>
      <c r="S20" s="230">
        <v>766</v>
      </c>
      <c r="T20" s="230">
        <v>860</v>
      </c>
      <c r="U20" s="230">
        <v>860</v>
      </c>
      <c r="V20" s="230">
        <v>417</v>
      </c>
      <c r="W20" s="230">
        <v>417</v>
      </c>
      <c r="X20" s="230">
        <v>417</v>
      </c>
      <c r="Y20" s="230">
        <v>417</v>
      </c>
      <c r="Z20" s="230">
        <v>417</v>
      </c>
      <c r="AA20" s="230">
        <v>417</v>
      </c>
      <c r="AB20" s="230">
        <v>417</v>
      </c>
      <c r="AC20" s="230">
        <v>417</v>
      </c>
      <c r="AD20" s="230">
        <v>417</v>
      </c>
      <c r="AE20" s="230">
        <v>417</v>
      </c>
      <c r="AF20" s="209" t="s">
        <v>33</v>
      </c>
    </row>
    <row r="21" spans="1:32" ht="12.75" customHeight="1">
      <c r="A21" s="8"/>
      <c r="B21" s="10" t="s">
        <v>34</v>
      </c>
      <c r="C21" s="332" t="s">
        <v>57</v>
      </c>
      <c r="D21" s="332" t="s">
        <v>57</v>
      </c>
      <c r="E21" s="332"/>
      <c r="F21" s="282"/>
      <c r="G21" s="282"/>
      <c r="H21" s="282"/>
      <c r="I21" s="282"/>
      <c r="J21" s="282">
        <v>400</v>
      </c>
      <c r="K21" s="282">
        <v>399</v>
      </c>
      <c r="L21" s="282">
        <v>399</v>
      </c>
      <c r="M21" s="282">
        <v>399</v>
      </c>
      <c r="N21" s="282">
        <v>500</v>
      </c>
      <c r="O21" s="282">
        <v>500</v>
      </c>
      <c r="P21" s="282">
        <v>500</v>
      </c>
      <c r="Q21" s="282">
        <v>500</v>
      </c>
      <c r="R21" s="282">
        <v>500</v>
      </c>
      <c r="S21" s="282">
        <v>500</v>
      </c>
      <c r="T21" s="282">
        <v>500</v>
      </c>
      <c r="U21" s="282">
        <v>500</v>
      </c>
      <c r="V21" s="282">
        <v>500</v>
      </c>
      <c r="W21" s="282">
        <v>500</v>
      </c>
      <c r="X21" s="282">
        <v>500</v>
      </c>
      <c r="Y21" s="282">
        <v>500</v>
      </c>
      <c r="Z21" s="282">
        <v>500</v>
      </c>
      <c r="AA21" s="282">
        <v>500</v>
      </c>
      <c r="AB21" s="282">
        <v>500</v>
      </c>
      <c r="AC21" s="282">
        <v>500</v>
      </c>
      <c r="AD21" s="282">
        <v>500</v>
      </c>
      <c r="AE21" s="282">
        <v>500</v>
      </c>
      <c r="AF21" s="10" t="s">
        <v>34</v>
      </c>
    </row>
    <row r="22" spans="1:32" ht="12.75" customHeight="1">
      <c r="A22" s="8"/>
      <c r="B22" s="209" t="s">
        <v>51</v>
      </c>
      <c r="C22" s="336" t="s">
        <v>59</v>
      </c>
      <c r="D22" s="336" t="s">
        <v>59</v>
      </c>
      <c r="E22" s="336" t="s">
        <v>59</v>
      </c>
      <c r="F22" s="230" t="s">
        <v>59</v>
      </c>
      <c r="G22" s="230" t="s">
        <v>59</v>
      </c>
      <c r="H22" s="230" t="s">
        <v>59</v>
      </c>
      <c r="I22" s="230" t="s">
        <v>59</v>
      </c>
      <c r="J22" s="230" t="s">
        <v>59</v>
      </c>
      <c r="K22" s="230" t="s">
        <v>59</v>
      </c>
      <c r="L22" s="230" t="s">
        <v>59</v>
      </c>
      <c r="M22" s="230" t="s">
        <v>59</v>
      </c>
      <c r="N22" s="230" t="s">
        <v>59</v>
      </c>
      <c r="O22" s="230" t="s">
        <v>59</v>
      </c>
      <c r="P22" s="230" t="s">
        <v>59</v>
      </c>
      <c r="Q22" s="230" t="s">
        <v>59</v>
      </c>
      <c r="R22" s="230" t="s">
        <v>59</v>
      </c>
      <c r="S22" s="230" t="s">
        <v>59</v>
      </c>
      <c r="T22" s="230" t="s">
        <v>59</v>
      </c>
      <c r="U22" s="230" t="s">
        <v>59</v>
      </c>
      <c r="V22" s="230" t="s">
        <v>59</v>
      </c>
      <c r="W22" s="230" t="s">
        <v>59</v>
      </c>
      <c r="X22" s="230" t="s">
        <v>59</v>
      </c>
      <c r="Y22" s="230" t="s">
        <v>59</v>
      </c>
      <c r="Z22" s="230" t="s">
        <v>59</v>
      </c>
      <c r="AA22" s="230" t="s">
        <v>59</v>
      </c>
      <c r="AB22" s="230" t="s">
        <v>59</v>
      </c>
      <c r="AC22" s="230" t="s">
        <v>59</v>
      </c>
      <c r="AD22" s="230" t="s">
        <v>59</v>
      </c>
      <c r="AE22" s="230" t="s">
        <v>59</v>
      </c>
      <c r="AF22" s="209" t="s">
        <v>51</v>
      </c>
    </row>
    <row r="23" spans="1:32" ht="12.75" customHeight="1">
      <c r="A23" s="8"/>
      <c r="B23" s="10" t="s">
        <v>32</v>
      </c>
      <c r="C23" s="332" t="s">
        <v>57</v>
      </c>
      <c r="D23" s="332">
        <v>1067</v>
      </c>
      <c r="E23" s="332">
        <v>2574</v>
      </c>
      <c r="F23" s="282">
        <v>2574</v>
      </c>
      <c r="G23" s="282">
        <v>2483</v>
      </c>
      <c r="H23" s="282">
        <v>2071</v>
      </c>
      <c r="I23" s="282">
        <v>2071</v>
      </c>
      <c r="J23" s="282">
        <v>2071</v>
      </c>
      <c r="K23" s="282">
        <v>2071</v>
      </c>
      <c r="L23" s="282">
        <v>848</v>
      </c>
      <c r="M23" s="282">
        <v>848</v>
      </c>
      <c r="N23" s="282">
        <v>2041</v>
      </c>
      <c r="O23" s="282">
        <v>2061</v>
      </c>
      <c r="P23" s="282">
        <v>2047</v>
      </c>
      <c r="Q23" s="282">
        <v>2047</v>
      </c>
      <c r="R23" s="282">
        <v>2047</v>
      </c>
      <c r="S23" s="282">
        <v>2031</v>
      </c>
      <c r="T23" s="282">
        <v>2032</v>
      </c>
      <c r="U23" s="282">
        <v>2032</v>
      </c>
      <c r="V23" s="282">
        <v>2209</v>
      </c>
      <c r="W23" s="282">
        <v>2206</v>
      </c>
      <c r="X23" s="282">
        <v>2207</v>
      </c>
      <c r="Y23" s="282">
        <v>2209</v>
      </c>
      <c r="Z23" s="282">
        <v>2215</v>
      </c>
      <c r="AA23" s="282">
        <v>2214.7</v>
      </c>
      <c r="AB23" s="282">
        <v>2217</v>
      </c>
      <c r="AC23" s="282">
        <v>2214.6</v>
      </c>
      <c r="AD23" s="282">
        <v>2214.6</v>
      </c>
      <c r="AE23" s="282">
        <v>2214.6</v>
      </c>
      <c r="AF23" s="10" t="s">
        <v>32</v>
      </c>
    </row>
    <row r="24" spans="1:32" ht="12.75" customHeight="1">
      <c r="A24" s="8"/>
      <c r="B24" s="209" t="s">
        <v>35</v>
      </c>
      <c r="C24" s="336" t="s">
        <v>59</v>
      </c>
      <c r="D24" s="336" t="s">
        <v>59</v>
      </c>
      <c r="E24" s="336" t="s">
        <v>59</v>
      </c>
      <c r="F24" s="230" t="s">
        <v>59</v>
      </c>
      <c r="G24" s="230" t="s">
        <v>59</v>
      </c>
      <c r="H24" s="230" t="s">
        <v>59</v>
      </c>
      <c r="I24" s="230" t="s">
        <v>59</v>
      </c>
      <c r="J24" s="230" t="s">
        <v>59</v>
      </c>
      <c r="K24" s="230" t="s">
        <v>59</v>
      </c>
      <c r="L24" s="230" t="s">
        <v>59</v>
      </c>
      <c r="M24" s="230" t="s">
        <v>59</v>
      </c>
      <c r="N24" s="230" t="s">
        <v>59</v>
      </c>
      <c r="O24" s="230" t="s">
        <v>59</v>
      </c>
      <c r="P24" s="230" t="s">
        <v>59</v>
      </c>
      <c r="Q24" s="230" t="s">
        <v>59</v>
      </c>
      <c r="R24" s="230" t="s">
        <v>59</v>
      </c>
      <c r="S24" s="230" t="s">
        <v>59</v>
      </c>
      <c r="T24" s="230" t="s">
        <v>59</v>
      </c>
      <c r="U24" s="230" t="s">
        <v>59</v>
      </c>
      <c r="V24" s="230" t="s">
        <v>59</v>
      </c>
      <c r="W24" s="230" t="s">
        <v>59</v>
      </c>
      <c r="X24" s="230" t="s">
        <v>59</v>
      </c>
      <c r="Y24" s="230" t="s">
        <v>59</v>
      </c>
      <c r="Z24" s="230" t="s">
        <v>59</v>
      </c>
      <c r="AA24" s="230" t="s">
        <v>59</v>
      </c>
      <c r="AB24" s="230" t="s">
        <v>59</v>
      </c>
      <c r="AC24" s="230" t="s">
        <v>59</v>
      </c>
      <c r="AD24" s="230" t="s">
        <v>59</v>
      </c>
      <c r="AE24" s="230" t="s">
        <v>59</v>
      </c>
      <c r="AF24" s="209" t="s">
        <v>35</v>
      </c>
    </row>
    <row r="25" spans="1:32" ht="12.75" customHeight="1">
      <c r="A25" s="8"/>
      <c r="B25" s="10" t="s">
        <v>43</v>
      </c>
      <c r="C25" s="332">
        <v>323</v>
      </c>
      <c r="D25" s="332">
        <v>391</v>
      </c>
      <c r="E25" s="332">
        <v>391</v>
      </c>
      <c r="F25" s="282">
        <v>391</v>
      </c>
      <c r="G25" s="282">
        <v>391</v>
      </c>
      <c r="H25" s="282">
        <v>391</v>
      </c>
      <c r="I25" s="282">
        <v>391</v>
      </c>
      <c r="J25" s="282">
        <v>391</v>
      </c>
      <c r="K25" s="282">
        <v>391</v>
      </c>
      <c r="L25" s="282">
        <v>391</v>
      </c>
      <c r="M25" s="282">
        <v>391</v>
      </c>
      <c r="N25" s="282">
        <v>391</v>
      </c>
      <c r="O25" s="282">
        <v>391</v>
      </c>
      <c r="P25" s="282">
        <v>391</v>
      </c>
      <c r="Q25" s="282">
        <v>391</v>
      </c>
      <c r="R25" s="282">
        <v>391</v>
      </c>
      <c r="S25" s="282">
        <v>391</v>
      </c>
      <c r="T25" s="282">
        <v>391</v>
      </c>
      <c r="U25" s="282">
        <v>391</v>
      </c>
      <c r="V25" s="282">
        <v>391</v>
      </c>
      <c r="W25" s="282">
        <v>391</v>
      </c>
      <c r="X25" s="282">
        <v>391</v>
      </c>
      <c r="Y25" s="282">
        <v>391</v>
      </c>
      <c r="Z25" s="282">
        <v>391</v>
      </c>
      <c r="AA25" s="282">
        <v>391</v>
      </c>
      <c r="AB25" s="282">
        <v>391</v>
      </c>
      <c r="AC25" s="282">
        <v>391</v>
      </c>
      <c r="AD25" s="282">
        <v>391</v>
      </c>
      <c r="AE25" s="282">
        <v>391</v>
      </c>
      <c r="AF25" s="10" t="s">
        <v>43</v>
      </c>
    </row>
    <row r="26" spans="1:32" ht="12.75" customHeight="1">
      <c r="A26" s="8"/>
      <c r="B26" s="209" t="s">
        <v>52</v>
      </c>
      <c r="C26" s="336">
        <v>604</v>
      </c>
      <c r="D26" s="336">
        <v>777</v>
      </c>
      <c r="E26" s="336">
        <v>777</v>
      </c>
      <c r="F26" s="230">
        <v>777</v>
      </c>
      <c r="G26" s="230">
        <v>777</v>
      </c>
      <c r="H26" s="230">
        <v>777</v>
      </c>
      <c r="I26" s="230">
        <v>777</v>
      </c>
      <c r="J26" s="230">
        <v>777</v>
      </c>
      <c r="K26" s="230">
        <v>777</v>
      </c>
      <c r="L26" s="230">
        <v>777</v>
      </c>
      <c r="M26" s="230">
        <v>777</v>
      </c>
      <c r="N26" s="230">
        <v>777</v>
      </c>
      <c r="O26" s="230">
        <v>777</v>
      </c>
      <c r="P26" s="230">
        <v>777</v>
      </c>
      <c r="Q26" s="230">
        <v>777</v>
      </c>
      <c r="R26" s="230">
        <v>777</v>
      </c>
      <c r="S26" s="230">
        <v>777</v>
      </c>
      <c r="T26" s="230">
        <v>777</v>
      </c>
      <c r="U26" s="230">
        <v>1214</v>
      </c>
      <c r="V26" s="230">
        <v>1214</v>
      </c>
      <c r="W26" s="230">
        <v>1214</v>
      </c>
      <c r="X26" s="230">
        <v>1214</v>
      </c>
      <c r="Y26" s="230">
        <v>1214</v>
      </c>
      <c r="Z26" s="230">
        <v>1214</v>
      </c>
      <c r="AA26" s="230">
        <v>1214</v>
      </c>
      <c r="AB26" s="230">
        <v>1214</v>
      </c>
      <c r="AC26" s="230">
        <v>1214</v>
      </c>
      <c r="AD26" s="268">
        <v>1214</v>
      </c>
      <c r="AE26" s="230">
        <v>1214</v>
      </c>
      <c r="AF26" s="209" t="s">
        <v>52</v>
      </c>
    </row>
    <row r="27" spans="1:32" ht="12.75" customHeight="1">
      <c r="A27" s="8"/>
      <c r="B27" s="10" t="s">
        <v>36</v>
      </c>
      <c r="C27" s="332" t="s">
        <v>57</v>
      </c>
      <c r="D27" s="332">
        <v>1975</v>
      </c>
      <c r="E27" s="332">
        <v>2039</v>
      </c>
      <c r="F27" s="282">
        <v>2040</v>
      </c>
      <c r="G27" s="282">
        <v>2192</v>
      </c>
      <c r="H27" s="282">
        <v>2192</v>
      </c>
      <c r="I27" s="282">
        <v>2278</v>
      </c>
      <c r="J27" s="282">
        <v>2278</v>
      </c>
      <c r="K27" s="282">
        <v>2278</v>
      </c>
      <c r="L27" s="282">
        <v>2278</v>
      </c>
      <c r="M27" s="282">
        <v>2278</v>
      </c>
      <c r="N27" s="282">
        <v>2278</v>
      </c>
      <c r="O27" s="282">
        <v>2278</v>
      </c>
      <c r="P27" s="282">
        <v>2285</v>
      </c>
      <c r="Q27" s="282">
        <v>2286</v>
      </c>
      <c r="R27" s="282">
        <v>2293</v>
      </c>
      <c r="S27" s="282">
        <v>2278</v>
      </c>
      <c r="T27" s="282">
        <v>2278</v>
      </c>
      <c r="U27" s="282">
        <v>2278</v>
      </c>
      <c r="V27" s="282">
        <v>2278</v>
      </c>
      <c r="W27" s="282">
        <v>2278</v>
      </c>
      <c r="X27" s="282">
        <v>2360</v>
      </c>
      <c r="Y27" s="282">
        <v>2362</v>
      </c>
      <c r="Z27" s="282">
        <v>2444</v>
      </c>
      <c r="AA27" s="282">
        <v>2444</v>
      </c>
      <c r="AB27" s="282">
        <v>2444</v>
      </c>
      <c r="AC27" s="282">
        <v>2483</v>
      </c>
      <c r="AD27" s="282">
        <v>2483</v>
      </c>
      <c r="AE27" s="282">
        <v>2483</v>
      </c>
      <c r="AF27" s="10" t="s">
        <v>36</v>
      </c>
    </row>
    <row r="28" spans="1:32" ht="12.75" customHeight="1">
      <c r="A28" s="8"/>
      <c r="B28" s="209" t="s">
        <v>53</v>
      </c>
      <c r="C28" s="336" t="s">
        <v>59</v>
      </c>
      <c r="D28" s="336" t="s">
        <v>59</v>
      </c>
      <c r="E28" s="336" t="s">
        <v>59</v>
      </c>
      <c r="F28" s="230" t="s">
        <v>59</v>
      </c>
      <c r="G28" s="230" t="s">
        <v>59</v>
      </c>
      <c r="H28" s="230" t="s">
        <v>59</v>
      </c>
      <c r="I28" s="230" t="s">
        <v>59</v>
      </c>
      <c r="J28" s="230" t="s">
        <v>59</v>
      </c>
      <c r="K28" s="230" t="s">
        <v>59</v>
      </c>
      <c r="L28" s="230">
        <v>147</v>
      </c>
      <c r="M28" s="230">
        <v>147</v>
      </c>
      <c r="N28" s="230">
        <v>147</v>
      </c>
      <c r="O28" s="230">
        <v>147</v>
      </c>
      <c r="P28" s="230">
        <v>147</v>
      </c>
      <c r="Q28" s="230">
        <v>147</v>
      </c>
      <c r="R28" s="230">
        <v>147</v>
      </c>
      <c r="S28" s="230">
        <v>147</v>
      </c>
      <c r="T28" s="230">
        <v>147</v>
      </c>
      <c r="U28" s="230">
        <v>147</v>
      </c>
      <c r="V28" s="230">
        <v>147</v>
      </c>
      <c r="W28" s="230">
        <v>147</v>
      </c>
      <c r="X28" s="230">
        <v>147</v>
      </c>
      <c r="Y28" s="230">
        <v>147</v>
      </c>
      <c r="Z28" s="230">
        <v>147</v>
      </c>
      <c r="AA28" s="230">
        <v>147</v>
      </c>
      <c r="AB28" s="230">
        <v>147</v>
      </c>
      <c r="AC28" s="230">
        <v>147</v>
      </c>
      <c r="AD28" s="230">
        <v>147</v>
      </c>
      <c r="AE28" s="230">
        <v>147</v>
      </c>
      <c r="AF28" s="209" t="s">
        <v>53</v>
      </c>
    </row>
    <row r="29" spans="1:32" ht="12.75" customHeight="1">
      <c r="A29" s="8"/>
      <c r="B29" s="10" t="s">
        <v>37</v>
      </c>
      <c r="C29" s="332" t="s">
        <v>57</v>
      </c>
      <c r="D29" s="332" t="s">
        <v>57</v>
      </c>
      <c r="E29" s="332">
        <v>3694</v>
      </c>
      <c r="F29" s="282"/>
      <c r="G29" s="282"/>
      <c r="H29" s="282"/>
      <c r="I29" s="282">
        <v>3535</v>
      </c>
      <c r="J29" s="282">
        <v>3546</v>
      </c>
      <c r="K29" s="282">
        <v>3546</v>
      </c>
      <c r="L29" s="282">
        <v>4629</v>
      </c>
      <c r="M29" s="282">
        <v>4629</v>
      </c>
      <c r="N29" s="282">
        <v>4423</v>
      </c>
      <c r="O29" s="282">
        <v>4423</v>
      </c>
      <c r="P29" s="282">
        <v>4423</v>
      </c>
      <c r="Q29" s="282">
        <v>4305</v>
      </c>
      <c r="R29" s="282">
        <v>4615</v>
      </c>
      <c r="S29" s="282">
        <v>3638</v>
      </c>
      <c r="T29" s="282">
        <v>4807</v>
      </c>
      <c r="U29" s="282">
        <v>4783</v>
      </c>
      <c r="V29" s="282">
        <v>4719</v>
      </c>
      <c r="W29" s="282">
        <v>4719</v>
      </c>
      <c r="X29" s="282">
        <v>4711</v>
      </c>
      <c r="Y29" s="282">
        <v>4711</v>
      </c>
      <c r="Z29" s="346">
        <v>2857</v>
      </c>
      <c r="AA29" s="282">
        <v>2625</v>
      </c>
      <c r="AB29" s="282">
        <v>2625</v>
      </c>
      <c r="AC29" s="282">
        <v>2715</v>
      </c>
      <c r="AD29" s="282">
        <v>2715</v>
      </c>
      <c r="AE29" s="282">
        <v>2714</v>
      </c>
      <c r="AF29" s="10" t="s">
        <v>37</v>
      </c>
    </row>
    <row r="30" spans="1:32" ht="12.75" customHeight="1">
      <c r="A30" s="8"/>
      <c r="B30" s="209" t="s">
        <v>39</v>
      </c>
      <c r="C30" s="336" t="s">
        <v>59</v>
      </c>
      <c r="D30" s="336" t="s">
        <v>59</v>
      </c>
      <c r="E30" s="336" t="s">
        <v>59</v>
      </c>
      <c r="F30" s="230" t="s">
        <v>59</v>
      </c>
      <c r="G30" s="230" t="s">
        <v>59</v>
      </c>
      <c r="H30" s="230" t="s">
        <v>59</v>
      </c>
      <c r="I30" s="230" t="s">
        <v>59</v>
      </c>
      <c r="J30" s="230" t="s">
        <v>59</v>
      </c>
      <c r="K30" s="230" t="s">
        <v>59</v>
      </c>
      <c r="L30" s="230" t="s">
        <v>59</v>
      </c>
      <c r="M30" s="230" t="s">
        <v>59</v>
      </c>
      <c r="N30" s="230" t="s">
        <v>59</v>
      </c>
      <c r="O30" s="230" t="s">
        <v>59</v>
      </c>
      <c r="P30" s="230" t="s">
        <v>59</v>
      </c>
      <c r="Q30" s="230" t="s">
        <v>59</v>
      </c>
      <c r="R30" s="230" t="s">
        <v>59</v>
      </c>
      <c r="S30" s="230" t="s">
        <v>59</v>
      </c>
      <c r="T30" s="230" t="s">
        <v>59</v>
      </c>
      <c r="U30" s="230" t="s">
        <v>59</v>
      </c>
      <c r="V30" s="230" t="s">
        <v>59</v>
      </c>
      <c r="W30" s="230" t="s">
        <v>59</v>
      </c>
      <c r="X30" s="230" t="s">
        <v>59</v>
      </c>
      <c r="Y30" s="230" t="s">
        <v>59</v>
      </c>
      <c r="Z30" s="230" t="s">
        <v>59</v>
      </c>
      <c r="AA30" s="230" t="s">
        <v>59</v>
      </c>
      <c r="AB30" s="230" t="s">
        <v>59</v>
      </c>
      <c r="AC30" s="230" t="s">
        <v>59</v>
      </c>
      <c r="AD30" s="230" t="s">
        <v>59</v>
      </c>
      <c r="AE30" s="230" t="s">
        <v>59</v>
      </c>
      <c r="AF30" s="209" t="s">
        <v>39</v>
      </c>
    </row>
    <row r="31" spans="1:32" ht="12.75" customHeight="1">
      <c r="A31" s="8"/>
      <c r="B31" s="10" t="s">
        <v>38</v>
      </c>
      <c r="C31" s="332"/>
      <c r="D31" s="332"/>
      <c r="E31" s="332"/>
      <c r="F31" s="282"/>
      <c r="G31" s="282"/>
      <c r="H31" s="282">
        <v>515</v>
      </c>
      <c r="I31" s="282">
        <v>515</v>
      </c>
      <c r="J31" s="282">
        <v>515</v>
      </c>
      <c r="K31" s="282">
        <v>515</v>
      </c>
      <c r="L31" s="282">
        <v>515</v>
      </c>
      <c r="M31" s="282">
        <v>515</v>
      </c>
      <c r="N31" s="282">
        <v>515</v>
      </c>
      <c r="O31" s="282">
        <v>515</v>
      </c>
      <c r="P31" s="282">
        <v>515</v>
      </c>
      <c r="Q31" s="282">
        <v>515</v>
      </c>
      <c r="R31" s="282">
        <v>515</v>
      </c>
      <c r="S31" s="282">
        <v>515</v>
      </c>
      <c r="T31" s="282">
        <v>515</v>
      </c>
      <c r="U31" s="282">
        <v>515</v>
      </c>
      <c r="V31" s="282">
        <v>515</v>
      </c>
      <c r="W31" s="328">
        <v>515</v>
      </c>
      <c r="X31" s="282">
        <v>509</v>
      </c>
      <c r="Y31" s="282">
        <v>510</v>
      </c>
      <c r="Z31" s="282">
        <v>510</v>
      </c>
      <c r="AA31" s="282">
        <v>510</v>
      </c>
      <c r="AB31" s="282">
        <v>510</v>
      </c>
      <c r="AC31" s="282">
        <v>506</v>
      </c>
      <c r="AD31" s="282">
        <v>506</v>
      </c>
      <c r="AE31" s="282">
        <v>506</v>
      </c>
      <c r="AF31" s="10" t="s">
        <v>38</v>
      </c>
    </row>
    <row r="32" spans="1:32" ht="12.75" customHeight="1">
      <c r="A32" s="8"/>
      <c r="B32" s="209" t="s">
        <v>54</v>
      </c>
      <c r="C32" s="336" t="s">
        <v>59</v>
      </c>
      <c r="D32" s="336" t="s">
        <v>59</v>
      </c>
      <c r="E32" s="336" t="s">
        <v>59</v>
      </c>
      <c r="F32" s="230" t="s">
        <v>59</v>
      </c>
      <c r="G32" s="230" t="s">
        <v>59</v>
      </c>
      <c r="H32" s="230" t="s">
        <v>59</v>
      </c>
      <c r="I32" s="230" t="s">
        <v>59</v>
      </c>
      <c r="J32" s="230" t="s">
        <v>59</v>
      </c>
      <c r="K32" s="230" t="s">
        <v>59</v>
      </c>
      <c r="L32" s="230" t="s">
        <v>59</v>
      </c>
      <c r="M32" s="230" t="s">
        <v>59</v>
      </c>
      <c r="N32" s="230" t="s">
        <v>59</v>
      </c>
      <c r="O32" s="230" t="s">
        <v>59</v>
      </c>
      <c r="P32" s="230" t="s">
        <v>59</v>
      </c>
      <c r="Q32" s="230" t="s">
        <v>59</v>
      </c>
      <c r="R32" s="230" t="s">
        <v>59</v>
      </c>
      <c r="S32" s="230" t="s">
        <v>59</v>
      </c>
      <c r="T32" s="230" t="s">
        <v>59</v>
      </c>
      <c r="U32" s="230" t="s">
        <v>59</v>
      </c>
      <c r="V32" s="230" t="s">
        <v>59</v>
      </c>
      <c r="W32" s="230" t="s">
        <v>59</v>
      </c>
      <c r="X32" s="230" t="s">
        <v>59</v>
      </c>
      <c r="Y32" s="230" t="s">
        <v>59</v>
      </c>
      <c r="Z32" s="230" t="s">
        <v>59</v>
      </c>
      <c r="AA32" s="230" t="s">
        <v>59</v>
      </c>
      <c r="AB32" s="230" t="s">
        <v>59</v>
      </c>
      <c r="AC32" s="230" t="s">
        <v>59</v>
      </c>
      <c r="AD32" s="230" t="s">
        <v>59</v>
      </c>
      <c r="AE32" s="230" t="s">
        <v>59</v>
      </c>
      <c r="AF32" s="209" t="s">
        <v>54</v>
      </c>
    </row>
    <row r="33" spans="1:32" ht="12.75" customHeight="1">
      <c r="A33" s="8"/>
      <c r="B33" s="10" t="s">
        <v>55</v>
      </c>
      <c r="C33" s="332" t="s">
        <v>59</v>
      </c>
      <c r="D33" s="332" t="s">
        <v>59</v>
      </c>
      <c r="E33" s="332" t="s">
        <v>59</v>
      </c>
      <c r="F33" s="282" t="s">
        <v>59</v>
      </c>
      <c r="G33" s="282" t="s">
        <v>59</v>
      </c>
      <c r="H33" s="282" t="s">
        <v>59</v>
      </c>
      <c r="I33" s="282" t="s">
        <v>59</v>
      </c>
      <c r="J33" s="282" t="s">
        <v>59</v>
      </c>
      <c r="K33" s="282" t="s">
        <v>59</v>
      </c>
      <c r="L33" s="282" t="s">
        <v>59</v>
      </c>
      <c r="M33" s="282" t="s">
        <v>59</v>
      </c>
      <c r="N33" s="282" t="s">
        <v>59</v>
      </c>
      <c r="O33" s="282" t="s">
        <v>59</v>
      </c>
      <c r="P33" s="282" t="s">
        <v>59</v>
      </c>
      <c r="Q33" s="282" t="s">
        <v>59</v>
      </c>
      <c r="R33" s="282" t="s">
        <v>59</v>
      </c>
      <c r="S33" s="282" t="s">
        <v>59</v>
      </c>
      <c r="T33" s="282" t="s">
        <v>59</v>
      </c>
      <c r="U33" s="282" t="s">
        <v>59</v>
      </c>
      <c r="V33" s="282" t="s">
        <v>59</v>
      </c>
      <c r="W33" s="282" t="s">
        <v>59</v>
      </c>
      <c r="X33" s="282" t="s">
        <v>59</v>
      </c>
      <c r="Y33" s="282" t="s">
        <v>59</v>
      </c>
      <c r="Z33" s="282" t="s">
        <v>59</v>
      </c>
      <c r="AA33" s="282" t="s">
        <v>59</v>
      </c>
      <c r="AB33" s="282" t="s">
        <v>59</v>
      </c>
      <c r="AC33" s="282" t="s">
        <v>59</v>
      </c>
      <c r="AD33" s="282" t="s">
        <v>59</v>
      </c>
      <c r="AE33" s="282" t="s">
        <v>59</v>
      </c>
      <c r="AF33" s="10" t="s">
        <v>55</v>
      </c>
    </row>
    <row r="34" spans="1:32" ht="12.75" customHeight="1">
      <c r="A34" s="8"/>
      <c r="B34" s="209" t="s">
        <v>44</v>
      </c>
      <c r="C34" s="336">
        <v>1634</v>
      </c>
      <c r="D34" s="336">
        <v>3166</v>
      </c>
      <c r="E34" s="336">
        <v>2462</v>
      </c>
      <c r="F34" s="230">
        <v>2650</v>
      </c>
      <c r="G34" s="230">
        <v>2762</v>
      </c>
      <c r="H34" s="230">
        <v>3086</v>
      </c>
      <c r="I34" s="230">
        <v>2996</v>
      </c>
      <c r="J34" s="230">
        <v>3470</v>
      </c>
      <c r="K34" s="230">
        <v>3459</v>
      </c>
      <c r="L34" s="230">
        <v>3936</v>
      </c>
      <c r="M34" s="230">
        <v>3953</v>
      </c>
      <c r="N34" s="230">
        <v>3923</v>
      </c>
      <c r="O34" s="230">
        <v>3954</v>
      </c>
      <c r="P34" s="230">
        <v>4368</v>
      </c>
      <c r="Q34" s="230">
        <v>4367</v>
      </c>
      <c r="R34" s="230">
        <v>4325</v>
      </c>
      <c r="S34" s="230">
        <v>4405</v>
      </c>
      <c r="T34" s="230">
        <v>4501</v>
      </c>
      <c r="U34" s="230">
        <v>4519</v>
      </c>
      <c r="V34" s="230">
        <v>4447</v>
      </c>
      <c r="W34" s="230">
        <v>4447</v>
      </c>
      <c r="X34" s="230">
        <v>4447</v>
      </c>
      <c r="Y34" s="230">
        <v>4446</v>
      </c>
      <c r="Z34" s="230">
        <v>4446</v>
      </c>
      <c r="AA34" s="230">
        <v>4446</v>
      </c>
      <c r="AB34" s="268">
        <v>4446</v>
      </c>
      <c r="AC34" s="268">
        <v>4446</v>
      </c>
      <c r="AD34" s="268">
        <v>4446</v>
      </c>
      <c r="AE34" s="268">
        <v>4446</v>
      </c>
      <c r="AF34" s="209" t="s">
        <v>44</v>
      </c>
    </row>
    <row r="35" spans="1:32" ht="12.75" customHeight="1">
      <c r="A35" s="8"/>
      <c r="B35" s="269" t="s">
        <v>123</v>
      </c>
      <c r="C35" s="337" t="s">
        <v>59</v>
      </c>
      <c r="D35" s="337" t="s">
        <v>59</v>
      </c>
      <c r="E35" s="338" t="s">
        <v>59</v>
      </c>
      <c r="F35" s="339" t="s">
        <v>59</v>
      </c>
      <c r="G35" s="339" t="s">
        <v>59</v>
      </c>
      <c r="H35" s="339" t="s">
        <v>59</v>
      </c>
      <c r="I35" s="339" t="s">
        <v>59</v>
      </c>
      <c r="J35" s="339" t="s">
        <v>59</v>
      </c>
      <c r="K35" s="339" t="s">
        <v>59</v>
      </c>
      <c r="L35" s="339" t="s">
        <v>59</v>
      </c>
      <c r="M35" s="339" t="s">
        <v>59</v>
      </c>
      <c r="N35" s="339" t="s">
        <v>59</v>
      </c>
      <c r="O35" s="339" t="s">
        <v>59</v>
      </c>
      <c r="P35" s="339" t="s">
        <v>59</v>
      </c>
      <c r="Q35" s="339" t="s">
        <v>59</v>
      </c>
      <c r="R35" s="339" t="s">
        <v>59</v>
      </c>
      <c r="S35" s="339" t="s">
        <v>59</v>
      </c>
      <c r="T35" s="339" t="s">
        <v>59</v>
      </c>
      <c r="U35" s="339" t="s">
        <v>59</v>
      </c>
      <c r="V35" s="339" t="s">
        <v>59</v>
      </c>
      <c r="W35" s="339" t="s">
        <v>59</v>
      </c>
      <c r="X35" s="339" t="s">
        <v>59</v>
      </c>
      <c r="Y35" s="339" t="s">
        <v>59</v>
      </c>
      <c r="Z35" s="340" t="s">
        <v>59</v>
      </c>
      <c r="AA35" s="340" t="s">
        <v>59</v>
      </c>
      <c r="AB35" s="340" t="s">
        <v>59</v>
      </c>
      <c r="AC35" s="340" t="s">
        <v>59</v>
      </c>
      <c r="AD35" s="340" t="s">
        <v>59</v>
      </c>
      <c r="AE35" s="340" t="s">
        <v>59</v>
      </c>
      <c r="AF35" s="269" t="s">
        <v>123</v>
      </c>
    </row>
    <row r="36" spans="1:32" ht="12.75" customHeight="1">
      <c r="A36" s="8"/>
      <c r="B36" s="10" t="s">
        <v>121</v>
      </c>
      <c r="C36" s="332" t="s">
        <v>59</v>
      </c>
      <c r="D36" s="332" t="s">
        <v>59</v>
      </c>
      <c r="E36" s="283" t="s">
        <v>59</v>
      </c>
      <c r="F36" s="282" t="s">
        <v>59</v>
      </c>
      <c r="G36" s="282" t="s">
        <v>59</v>
      </c>
      <c r="H36" s="282" t="s">
        <v>59</v>
      </c>
      <c r="I36" s="282" t="s">
        <v>59</v>
      </c>
      <c r="J36" s="282" t="s">
        <v>59</v>
      </c>
      <c r="K36" s="282" t="s">
        <v>59</v>
      </c>
      <c r="L36" s="282" t="s">
        <v>59</v>
      </c>
      <c r="M36" s="282" t="s">
        <v>59</v>
      </c>
      <c r="N36" s="282" t="s">
        <v>59</v>
      </c>
      <c r="O36" s="282" t="s">
        <v>59</v>
      </c>
      <c r="P36" s="282" t="s">
        <v>59</v>
      </c>
      <c r="Q36" s="282" t="s">
        <v>59</v>
      </c>
      <c r="R36" s="282" t="s">
        <v>59</v>
      </c>
      <c r="S36" s="282" t="s">
        <v>59</v>
      </c>
      <c r="T36" s="282" t="s">
        <v>59</v>
      </c>
      <c r="U36" s="282" t="s">
        <v>59</v>
      </c>
      <c r="V36" s="282" t="s">
        <v>59</v>
      </c>
      <c r="W36" s="282" t="s">
        <v>59</v>
      </c>
      <c r="X36" s="282" t="s">
        <v>59</v>
      </c>
      <c r="Y36" s="282" t="s">
        <v>59</v>
      </c>
      <c r="Z36" s="282" t="s">
        <v>59</v>
      </c>
      <c r="AA36" s="282" t="s">
        <v>59</v>
      </c>
      <c r="AB36" s="282" t="s">
        <v>59</v>
      </c>
      <c r="AC36" s="282" t="s">
        <v>59</v>
      </c>
      <c r="AD36" s="282" t="s">
        <v>59</v>
      </c>
      <c r="AE36" s="282" t="s">
        <v>59</v>
      </c>
      <c r="AF36" s="10" t="s">
        <v>121</v>
      </c>
    </row>
    <row r="37" spans="1:32" ht="12.75" customHeight="1">
      <c r="A37" s="8"/>
      <c r="B37" s="209" t="s">
        <v>1</v>
      </c>
      <c r="C37" s="336"/>
      <c r="D37" s="336"/>
      <c r="E37" s="336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>
        <v>144</v>
      </c>
      <c r="R37" s="230">
        <v>144</v>
      </c>
      <c r="S37" s="230">
        <v>144</v>
      </c>
      <c r="T37" s="230">
        <v>155</v>
      </c>
      <c r="U37" s="230">
        <v>155</v>
      </c>
      <c r="V37" s="230">
        <v>155</v>
      </c>
      <c r="W37" s="230">
        <v>155</v>
      </c>
      <c r="X37" s="230">
        <v>143.6</v>
      </c>
      <c r="Y37" s="230">
        <v>143.7</v>
      </c>
      <c r="Z37" s="230">
        <v>143.6</v>
      </c>
      <c r="AA37" s="230">
        <v>143.6</v>
      </c>
      <c r="AB37" s="230" t="s">
        <v>59</v>
      </c>
      <c r="AC37" s="230" t="s">
        <v>59</v>
      </c>
      <c r="AD37" s="230">
        <v>217</v>
      </c>
      <c r="AE37" s="230">
        <v>217</v>
      </c>
      <c r="AF37" s="209" t="s">
        <v>1</v>
      </c>
    </row>
    <row r="38" spans="1:32" ht="12.75" customHeight="1">
      <c r="A38" s="8"/>
      <c r="B38" s="10" t="s">
        <v>122</v>
      </c>
      <c r="C38" s="332"/>
      <c r="D38" s="332"/>
      <c r="E38" s="33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>
        <v>374</v>
      </c>
      <c r="V38" s="282">
        <v>374</v>
      </c>
      <c r="W38" s="282">
        <v>374</v>
      </c>
      <c r="X38" s="282">
        <v>374</v>
      </c>
      <c r="Y38" s="282">
        <v>374</v>
      </c>
      <c r="Z38" s="282">
        <v>434</v>
      </c>
      <c r="AA38" s="282">
        <v>434</v>
      </c>
      <c r="AB38" s="282">
        <v>434</v>
      </c>
      <c r="AC38" s="282">
        <v>279</v>
      </c>
      <c r="AD38" s="282">
        <v>279</v>
      </c>
      <c r="AE38" s="282">
        <v>279</v>
      </c>
      <c r="AF38" s="10" t="s">
        <v>122</v>
      </c>
    </row>
    <row r="39" spans="1:32" ht="12.75" customHeight="1">
      <c r="A39" s="8"/>
      <c r="B39" s="232" t="s">
        <v>40</v>
      </c>
      <c r="C39" s="341" t="s">
        <v>57</v>
      </c>
      <c r="D39" s="341" t="s">
        <v>57</v>
      </c>
      <c r="E39" s="341" t="s">
        <v>57</v>
      </c>
      <c r="F39" s="319"/>
      <c r="G39" s="319">
        <v>1947</v>
      </c>
      <c r="H39" s="319">
        <v>1126</v>
      </c>
      <c r="I39" s="319">
        <v>1126</v>
      </c>
      <c r="J39" s="319">
        <v>1126</v>
      </c>
      <c r="K39" s="319">
        <v>2112</v>
      </c>
      <c r="L39" s="319">
        <v>2112</v>
      </c>
      <c r="M39" s="319">
        <v>2112</v>
      </c>
      <c r="N39" s="319">
        <v>2112</v>
      </c>
      <c r="O39" s="319">
        <v>2112</v>
      </c>
      <c r="P39" s="319">
        <v>2112</v>
      </c>
      <c r="Q39" s="319">
        <v>2112</v>
      </c>
      <c r="R39" s="319">
        <v>2112</v>
      </c>
      <c r="S39" s="319">
        <v>2112</v>
      </c>
      <c r="T39" s="319">
        <v>3065</v>
      </c>
      <c r="U39" s="319">
        <v>3065</v>
      </c>
      <c r="V39" s="319">
        <v>3065</v>
      </c>
      <c r="W39" s="319">
        <v>3065</v>
      </c>
      <c r="X39" s="319">
        <v>3065</v>
      </c>
      <c r="Y39" s="319">
        <v>3038</v>
      </c>
      <c r="Z39" s="319">
        <v>3038</v>
      </c>
      <c r="AA39" s="319">
        <v>3038</v>
      </c>
      <c r="AB39" s="319">
        <v>3053</v>
      </c>
      <c r="AC39" s="319">
        <v>3053</v>
      </c>
      <c r="AD39" s="319">
        <v>3053</v>
      </c>
      <c r="AE39" s="319">
        <v>3053</v>
      </c>
      <c r="AF39" s="232" t="s">
        <v>40</v>
      </c>
    </row>
    <row r="40" spans="1:32" ht="12.75" customHeight="1">
      <c r="A40" s="8"/>
      <c r="B40" s="10" t="s">
        <v>26</v>
      </c>
      <c r="C40" s="332" t="s">
        <v>59</v>
      </c>
      <c r="D40" s="332" t="s">
        <v>59</v>
      </c>
      <c r="E40" s="332" t="s">
        <v>59</v>
      </c>
      <c r="F40" s="282"/>
      <c r="G40" s="282"/>
      <c r="H40" s="282" t="s">
        <v>59</v>
      </c>
      <c r="I40" s="282" t="s">
        <v>59</v>
      </c>
      <c r="J40" s="282" t="s">
        <v>59</v>
      </c>
      <c r="K40" s="282" t="s">
        <v>59</v>
      </c>
      <c r="L40" s="282" t="s">
        <v>59</v>
      </c>
      <c r="M40" s="282" t="s">
        <v>59</v>
      </c>
      <c r="N40" s="282" t="s">
        <v>59</v>
      </c>
      <c r="O40" s="282" t="s">
        <v>59</v>
      </c>
      <c r="P40" s="282" t="s">
        <v>59</v>
      </c>
      <c r="Q40" s="282" t="s">
        <v>59</v>
      </c>
      <c r="R40" s="282" t="s">
        <v>59</v>
      </c>
      <c r="S40" s="282" t="s">
        <v>59</v>
      </c>
      <c r="T40" s="282" t="s">
        <v>59</v>
      </c>
      <c r="U40" s="282" t="s">
        <v>59</v>
      </c>
      <c r="V40" s="282" t="s">
        <v>59</v>
      </c>
      <c r="W40" s="282" t="s">
        <v>59</v>
      </c>
      <c r="X40" s="282" t="s">
        <v>59</v>
      </c>
      <c r="Y40" s="282" t="s">
        <v>59</v>
      </c>
      <c r="Z40" s="282" t="s">
        <v>59</v>
      </c>
      <c r="AA40" s="282" t="s">
        <v>59</v>
      </c>
      <c r="AB40" s="282" t="s">
        <v>59</v>
      </c>
      <c r="AC40" s="282" t="s">
        <v>59</v>
      </c>
      <c r="AD40" s="282" t="s">
        <v>59</v>
      </c>
      <c r="AE40" s="282" t="s">
        <v>59</v>
      </c>
      <c r="AF40" s="9" t="s">
        <v>26</v>
      </c>
    </row>
    <row r="41" spans="1:32" ht="12.75" customHeight="1">
      <c r="A41" s="8"/>
      <c r="B41" s="209" t="s">
        <v>56</v>
      </c>
      <c r="C41" s="336" t="s">
        <v>57</v>
      </c>
      <c r="D41" s="336" t="s">
        <v>57</v>
      </c>
      <c r="E41" s="336"/>
      <c r="F41" s="230"/>
      <c r="G41" s="230"/>
      <c r="H41" s="230"/>
      <c r="I41" s="230"/>
      <c r="J41" s="230">
        <v>3701</v>
      </c>
      <c r="K41" s="230">
        <v>4249</v>
      </c>
      <c r="L41" s="230">
        <v>4553</v>
      </c>
      <c r="M41" s="230">
        <v>5747</v>
      </c>
      <c r="N41" s="230">
        <v>6827</v>
      </c>
      <c r="O41" s="230">
        <v>7908</v>
      </c>
      <c r="P41" s="230">
        <v>879</v>
      </c>
      <c r="Q41" s="230">
        <v>879</v>
      </c>
      <c r="R41" s="230">
        <v>1099</v>
      </c>
      <c r="S41" s="230">
        <v>1189</v>
      </c>
      <c r="T41" s="230">
        <v>1189</v>
      </c>
      <c r="U41" s="230">
        <v>1189</v>
      </c>
      <c r="V41" s="230">
        <v>1189</v>
      </c>
      <c r="W41" s="230">
        <v>1180</v>
      </c>
      <c r="X41" s="230">
        <v>1189</v>
      </c>
      <c r="Y41" s="230">
        <v>1260</v>
      </c>
      <c r="Z41" s="230">
        <v>1244</v>
      </c>
      <c r="AA41" s="230">
        <v>1245</v>
      </c>
      <c r="AB41" s="230">
        <v>1245</v>
      </c>
      <c r="AC41" s="230">
        <v>1245</v>
      </c>
      <c r="AD41" s="230">
        <v>1245</v>
      </c>
      <c r="AE41" s="230">
        <v>1288</v>
      </c>
      <c r="AF41" s="209" t="s">
        <v>56</v>
      </c>
    </row>
    <row r="42" spans="1:32" ht="12.75" customHeight="1">
      <c r="A42" s="8"/>
      <c r="B42" s="12" t="s">
        <v>27</v>
      </c>
      <c r="C42" s="342" t="s">
        <v>57</v>
      </c>
      <c r="D42" s="342" t="s">
        <v>57</v>
      </c>
      <c r="E42" s="342">
        <v>239</v>
      </c>
      <c r="F42" s="290">
        <v>239</v>
      </c>
      <c r="G42" s="290">
        <v>239</v>
      </c>
      <c r="H42" s="290">
        <v>239</v>
      </c>
      <c r="I42" s="290">
        <v>239</v>
      </c>
      <c r="J42" s="290">
        <v>239</v>
      </c>
      <c r="K42" s="290">
        <v>239</v>
      </c>
      <c r="L42" s="290">
        <v>109</v>
      </c>
      <c r="M42" s="290">
        <v>109</v>
      </c>
      <c r="N42" s="290">
        <v>109</v>
      </c>
      <c r="O42" s="290">
        <v>109</v>
      </c>
      <c r="P42" s="290">
        <v>109</v>
      </c>
      <c r="Q42" s="290">
        <v>109</v>
      </c>
      <c r="R42" s="290">
        <v>109</v>
      </c>
      <c r="S42" s="290">
        <v>109</v>
      </c>
      <c r="T42" s="290">
        <v>109</v>
      </c>
      <c r="U42" s="290">
        <v>109</v>
      </c>
      <c r="V42" s="290">
        <v>109</v>
      </c>
      <c r="W42" s="290">
        <v>109</v>
      </c>
      <c r="X42" s="290">
        <v>109</v>
      </c>
      <c r="Y42" s="290">
        <v>109</v>
      </c>
      <c r="Z42" s="290">
        <v>109</v>
      </c>
      <c r="AA42" s="290">
        <v>109</v>
      </c>
      <c r="AB42" s="290">
        <v>109</v>
      </c>
      <c r="AC42" s="290">
        <v>109</v>
      </c>
      <c r="AD42" s="290">
        <v>109</v>
      </c>
      <c r="AE42" s="290">
        <v>109</v>
      </c>
      <c r="AF42" s="12" t="s">
        <v>27</v>
      </c>
    </row>
    <row r="43" spans="1:32" ht="12.75" customHeight="1">
      <c r="A43" s="8"/>
      <c r="B43" s="425" t="s">
        <v>120</v>
      </c>
      <c r="C43" s="425"/>
      <c r="D43" s="425"/>
      <c r="E43" s="425"/>
      <c r="F43" s="425"/>
      <c r="G43" s="425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41"/>
      <c r="U43" s="441"/>
      <c r="V43" s="441"/>
      <c r="W43" s="441"/>
      <c r="X43" s="441"/>
      <c r="Y43" s="441"/>
      <c r="Z43" s="441"/>
      <c r="AA43" s="441"/>
      <c r="AB43" s="441"/>
      <c r="AC43" s="441"/>
      <c r="AD43" s="441"/>
      <c r="AE43" s="441"/>
      <c r="AF43" s="441"/>
    </row>
    <row r="44" spans="1:32" ht="12.75" customHeight="1">
      <c r="A44" s="8"/>
      <c r="B44" s="425" t="s">
        <v>87</v>
      </c>
      <c r="C44" s="425"/>
      <c r="D44" s="425"/>
      <c r="E44" s="425"/>
      <c r="F44" s="425"/>
      <c r="G44" s="425"/>
      <c r="H44" s="425"/>
      <c r="I44" s="425"/>
      <c r="J44" s="425"/>
      <c r="K44" s="425"/>
      <c r="L44" s="425"/>
      <c r="M44" s="425"/>
      <c r="N44" s="425"/>
      <c r="O44" s="425"/>
      <c r="P44" s="425"/>
      <c r="Q44" s="204"/>
      <c r="R44" s="17"/>
      <c r="S44" s="17"/>
      <c r="T44" s="17"/>
      <c r="U44" s="17"/>
      <c r="V44" s="17"/>
      <c r="W44" s="207"/>
      <c r="X44" s="207"/>
      <c r="Y44" s="17"/>
      <c r="Z44" s="17"/>
      <c r="AA44" s="17"/>
      <c r="AB44" s="17"/>
      <c r="AC44" s="17"/>
      <c r="AD44" s="17"/>
      <c r="AE44" s="17"/>
      <c r="AF44" s="17"/>
    </row>
    <row r="45" spans="2:32" ht="15" customHeight="1">
      <c r="B45" s="2" t="s">
        <v>101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"/>
      <c r="V45" s="17"/>
      <c r="W45" s="207"/>
      <c r="X45" s="207"/>
      <c r="Y45" s="17"/>
      <c r="Z45" s="17"/>
      <c r="AA45" s="17"/>
      <c r="AB45" s="17"/>
      <c r="AC45" s="17"/>
      <c r="AD45" s="17"/>
      <c r="AE45" s="17"/>
      <c r="AF45" s="17"/>
    </row>
    <row r="46" spans="2:32" ht="12.75" customHeight="1">
      <c r="B46" s="175" t="s">
        <v>131</v>
      </c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</row>
    <row r="47" spans="2:32" ht="12.75" customHeight="1">
      <c r="B47" s="175" t="s">
        <v>132</v>
      </c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204"/>
      <c r="X47" s="204"/>
      <c r="Y47" s="174"/>
      <c r="Z47" s="174"/>
      <c r="AA47" s="174"/>
      <c r="AB47" s="174"/>
      <c r="AC47" s="174"/>
      <c r="AD47" s="174"/>
      <c r="AE47" s="174"/>
      <c r="AF47" s="174"/>
    </row>
    <row r="48" ht="12.75" customHeight="1"/>
  </sheetData>
  <sheetProtection/>
  <mergeCells count="5">
    <mergeCell ref="B1:C1"/>
    <mergeCell ref="B44:P44"/>
    <mergeCell ref="B2:AF2"/>
    <mergeCell ref="B3:AF3"/>
    <mergeCell ref="B43:AF43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BOLSI Paolo (MOVE)</cp:lastModifiedBy>
  <cp:lastPrinted>2015-04-09T10:06:30Z</cp:lastPrinted>
  <dcterms:created xsi:type="dcterms:W3CDTF">2003-09-05T14:33:05Z</dcterms:created>
  <dcterms:modified xsi:type="dcterms:W3CDTF">2018-08-16T09:21:29Z</dcterms:modified>
  <cp:category/>
  <cp:version/>
  <cp:contentType/>
  <cp:contentStatus/>
</cp:coreProperties>
</file>