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2 work files\To publish\"/>
    </mc:Choice>
  </mc:AlternateContent>
  <bookViews>
    <workbookView xWindow="9105" yWindow="-225" windowWidth="14640" windowHeight="12105" tabRatio="1000"/>
  </bookViews>
  <sheets>
    <sheet name="T2.2" sheetId="58" r:id="rId1"/>
    <sheet name="freight_graph" sheetId="59" r:id="rId2"/>
    <sheet name="perf_mode_tkm" sheetId="60" r:id="rId3"/>
    <sheet name="perf_land _tkm" sheetId="144" r:id="rId4"/>
    <sheet name="road_by_nat" sheetId="63" r:id="rId5"/>
    <sheet name="road_by_int" sheetId="64" r:id="rId6"/>
    <sheet name="road_by_tot" sheetId="65" r:id="rId7"/>
    <sheet name="road_ter" sheetId="146" r:id="rId8"/>
    <sheet name="rail_tkm" sheetId="66" r:id="rId9"/>
    <sheet name="iww" sheetId="67" r:id="rId10"/>
    <sheet name="pipeline" sheetId="68" r:id="rId11"/>
    <sheet name="usa_goods" sheetId="145"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freight_graph!#REF!</definedName>
    <definedName name="_xlnm.Print_Area" localSheetId="9">iww!$B$1:$AK$48</definedName>
    <definedName name="_xlnm.Print_Area" localSheetId="3">'perf_land _tkm'!#REF!</definedName>
    <definedName name="_xlnm.Print_Area" localSheetId="2">perf_mode_tkm!$B$1:$I$71</definedName>
    <definedName name="_xlnm.Print_Area" localSheetId="10">pipeline!$B$1:$AK$49</definedName>
    <definedName name="_xlnm.Print_Area" localSheetId="8">rail_tkm!$B$2:$AK$45</definedName>
    <definedName name="_xlnm.Print_Area" localSheetId="5">road_by_int!$B$1:$AE$49</definedName>
    <definedName name="_xlnm.Print_Area" localSheetId="4">road_by_nat!$B$1:$AE$47</definedName>
    <definedName name="_xlnm.Print_Area" localSheetId="6">road_by_tot!$B$1:$AD$51</definedName>
    <definedName name="_xlnm.Print_Area" localSheetId="7">road_ter!$B$1:$T$49</definedName>
    <definedName name="_xlnm.Print_Area" localSheetId="0">'T2.2'!$B$1:$E$27</definedName>
    <definedName name="_xlnm.Print_Area" localSheetId="11">usa_goods!$B$1:$G$97</definedName>
    <definedName name="Z_534C28F1_E90D_11D3_A4B3_0050041AE0D6_.wvu.Cols" localSheetId="11" hidden="1">usa_goods!#REF!</definedName>
  </definedNames>
  <calcPr calcId="162913"/>
</workbook>
</file>

<file path=xl/calcChain.xml><?xml version="1.0" encoding="utf-8"?>
<calcChain xmlns="http://schemas.openxmlformats.org/spreadsheetml/2006/main">
  <c r="AB41" i="65" l="1"/>
  <c r="AD9" i="63" l="1"/>
  <c r="AD10" i="63"/>
  <c r="AD11" i="63"/>
  <c r="AD12" i="63"/>
  <c r="AD13" i="63"/>
  <c r="AD14" i="63"/>
  <c r="AD15" i="63"/>
  <c r="AD16" i="63"/>
  <c r="AD17" i="63"/>
  <c r="AD18" i="63"/>
  <c r="AD19" i="63"/>
  <c r="AD20" i="63"/>
  <c r="AD21" i="63"/>
  <c r="AD22" i="63"/>
  <c r="AD23" i="63"/>
  <c r="AD24" i="63"/>
  <c r="AD25" i="63"/>
  <c r="AD26" i="63"/>
  <c r="AD27" i="63"/>
  <c r="AD28" i="63"/>
  <c r="AD29" i="63"/>
  <c r="AD30" i="63"/>
  <c r="AD31" i="63"/>
  <c r="AD32" i="63"/>
  <c r="AD33" i="63"/>
  <c r="AD34" i="63"/>
  <c r="AD35" i="63"/>
  <c r="AD37" i="63"/>
  <c r="AD38" i="63"/>
  <c r="AD39" i="63"/>
  <c r="I9" i="60"/>
  <c r="I10" i="60"/>
  <c r="I11" i="60"/>
  <c r="I12" i="60"/>
  <c r="I13" i="60"/>
  <c r="I14" i="60"/>
  <c r="I15" i="60"/>
  <c r="I16" i="60"/>
  <c r="I17" i="60"/>
  <c r="I18" i="60"/>
  <c r="I19" i="60"/>
  <c r="I20" i="60"/>
  <c r="I21" i="60"/>
  <c r="I22" i="60"/>
  <c r="I23" i="60"/>
  <c r="I24" i="60"/>
  <c r="I25" i="60"/>
  <c r="I26" i="60"/>
  <c r="I27" i="60"/>
  <c r="I28" i="60"/>
  <c r="I29" i="60"/>
  <c r="I30" i="60"/>
  <c r="I31" i="60"/>
  <c r="I32" i="60"/>
  <c r="I33" i="60"/>
  <c r="I8" i="60"/>
  <c r="Z38" i="59" l="1"/>
  <c r="AA38" i="59"/>
  <c r="AB38" i="59"/>
  <c r="AA6" i="68"/>
  <c r="AA7" i="68" s="1"/>
  <c r="Z6" i="68"/>
  <c r="Z7" i="68" s="1"/>
  <c r="P8" i="146"/>
  <c r="Q8" i="146"/>
  <c r="C7" i="146"/>
  <c r="C8" i="146" s="1"/>
  <c r="AC9" i="65"/>
  <c r="AC10" i="65"/>
  <c r="AC11" i="65"/>
  <c r="AC12" i="65"/>
  <c r="AC13" i="65"/>
  <c r="AC14" i="65"/>
  <c r="AC15" i="65"/>
  <c r="AC16" i="65"/>
  <c r="AC17" i="65"/>
  <c r="AC18" i="65"/>
  <c r="AC19" i="65"/>
  <c r="AC20" i="65"/>
  <c r="AC21" i="65"/>
  <c r="AC22" i="65"/>
  <c r="AC23" i="65"/>
  <c r="AC24" i="65"/>
  <c r="AC25" i="65"/>
  <c r="AC26" i="65"/>
  <c r="AC27" i="65"/>
  <c r="AC28" i="65"/>
  <c r="AC29" i="65"/>
  <c r="AC30" i="65"/>
  <c r="AC31" i="65"/>
  <c r="AC32" i="65"/>
  <c r="AC33" i="65"/>
  <c r="AC34" i="65"/>
  <c r="AC35" i="65"/>
  <c r="AC39" i="65"/>
  <c r="AC37" i="65"/>
  <c r="AC38" i="65"/>
  <c r="D7" i="65"/>
  <c r="E7" i="65"/>
  <c r="E8" i="65" s="1"/>
  <c r="F7" i="65"/>
  <c r="G7" i="65"/>
  <c r="G8" i="65" s="1"/>
  <c r="H7" i="65"/>
  <c r="H8" i="65" s="1"/>
  <c r="I7" i="65"/>
  <c r="I8" i="65" s="1"/>
  <c r="J7" i="65"/>
  <c r="K7" i="65"/>
  <c r="K8" i="65" s="1"/>
  <c r="L7" i="65"/>
  <c r="L8" i="65" s="1"/>
  <c r="M7" i="65"/>
  <c r="M8" i="65" s="1"/>
  <c r="N7" i="65"/>
  <c r="O7" i="65"/>
  <c r="O8" i="65" s="1"/>
  <c r="P7" i="65"/>
  <c r="P8" i="65" s="1"/>
  <c r="Q7" i="65"/>
  <c r="Q8" i="65" s="1"/>
  <c r="R7" i="65"/>
  <c r="S7" i="65"/>
  <c r="S8" i="65" s="1"/>
  <c r="T7" i="65"/>
  <c r="T8" i="65" s="1"/>
  <c r="U7" i="65"/>
  <c r="U8" i="65" s="1"/>
  <c r="V7" i="65"/>
  <c r="W7" i="65"/>
  <c r="W8" i="65" s="1"/>
  <c r="X7" i="65"/>
  <c r="Y7" i="65"/>
  <c r="Y8" i="65" s="1"/>
  <c r="Z7" i="65"/>
  <c r="AA7" i="65"/>
  <c r="AA8" i="65" s="1"/>
  <c r="AB7" i="65"/>
  <c r="AD7" i="63" s="1"/>
  <c r="D8" i="65"/>
  <c r="F8" i="65"/>
  <c r="J8" i="65"/>
  <c r="N8" i="65"/>
  <c r="R8" i="65"/>
  <c r="V8" i="65"/>
  <c r="X8" i="65"/>
  <c r="Z8" i="65"/>
  <c r="H7" i="64"/>
  <c r="H8" i="64" s="1"/>
  <c r="AE9" i="64"/>
  <c r="AE10" i="64"/>
  <c r="AE11" i="64"/>
  <c r="AE12" i="64"/>
  <c r="AE13" i="64"/>
  <c r="AE14" i="64"/>
  <c r="AE15" i="64"/>
  <c r="AE16" i="64"/>
  <c r="AE17" i="64"/>
  <c r="AE18" i="64"/>
  <c r="AE19" i="64"/>
  <c r="AE20" i="64"/>
  <c r="AE21" i="64"/>
  <c r="AE22" i="64"/>
  <c r="AE23" i="64"/>
  <c r="AE24" i="64"/>
  <c r="AE25" i="64"/>
  <c r="AE26" i="64"/>
  <c r="AE27" i="64"/>
  <c r="AE28" i="64"/>
  <c r="AE29" i="64"/>
  <c r="AE30" i="64"/>
  <c r="AE31" i="64"/>
  <c r="AE32" i="64"/>
  <c r="AE33" i="64"/>
  <c r="AE34" i="64"/>
  <c r="AE35" i="64"/>
  <c r="AE39" i="64"/>
  <c r="AE37" i="64"/>
  <c r="AE38" i="64"/>
  <c r="AD9" i="64"/>
  <c r="AD10" i="64"/>
  <c r="AD11" i="64"/>
  <c r="AD12" i="64"/>
  <c r="AD13" i="64"/>
  <c r="AD14" i="64"/>
  <c r="AD15" i="64"/>
  <c r="AD16" i="64"/>
  <c r="AD17" i="64"/>
  <c r="AD18" i="64"/>
  <c r="AD19" i="64"/>
  <c r="AD20" i="64"/>
  <c r="AD21" i="64"/>
  <c r="AD22" i="64"/>
  <c r="AD23" i="64"/>
  <c r="AD24" i="64"/>
  <c r="AD25" i="64"/>
  <c r="AD26" i="64"/>
  <c r="AD27" i="64"/>
  <c r="AD28" i="64"/>
  <c r="AD29" i="64"/>
  <c r="AD30" i="64"/>
  <c r="AD31" i="64"/>
  <c r="AD32" i="64"/>
  <c r="AD33" i="64"/>
  <c r="AD34" i="64"/>
  <c r="AD35" i="64"/>
  <c r="AD39" i="64"/>
  <c r="AD37" i="64"/>
  <c r="AD38" i="64"/>
  <c r="H7" i="63"/>
  <c r="H8" i="63" s="1"/>
  <c r="AA7" i="67"/>
  <c r="AA6" i="67"/>
  <c r="AB6" i="67"/>
  <c r="AB7" i="67" s="1"/>
  <c r="AC6" i="67"/>
  <c r="AC7" i="67" s="1"/>
  <c r="AD6" i="67"/>
  <c r="AD7" i="67" s="1"/>
  <c r="AE6" i="67"/>
  <c r="AE7" i="67" s="1"/>
  <c r="AH6" i="67"/>
  <c r="AH7" i="67" s="1"/>
  <c r="AI6" i="67"/>
  <c r="Z6" i="67"/>
  <c r="Z7" i="67" s="1"/>
  <c r="D6" i="67"/>
  <c r="E6" i="67"/>
  <c r="F6" i="67"/>
  <c r="G6" i="67"/>
  <c r="H6" i="67"/>
  <c r="I6" i="67"/>
  <c r="J6" i="67"/>
  <c r="K6" i="67"/>
  <c r="L6" i="67"/>
  <c r="M6" i="67"/>
  <c r="N6" i="67"/>
  <c r="O6" i="67"/>
  <c r="P6" i="67"/>
  <c r="Q6" i="67"/>
  <c r="R6" i="67"/>
  <c r="S6" i="67"/>
  <c r="T6" i="67"/>
  <c r="C6" i="67"/>
  <c r="P7" i="66"/>
  <c r="P8" i="66" s="1"/>
  <c r="Q7" i="66"/>
  <c r="Q8" i="66" s="1"/>
  <c r="R7" i="66"/>
  <c r="R8" i="66" s="1"/>
  <c r="S7" i="66"/>
  <c r="S8" i="66" s="1"/>
  <c r="T7" i="66"/>
  <c r="T8" i="66" s="1"/>
  <c r="U7" i="66"/>
  <c r="U8" i="66" s="1"/>
  <c r="V7" i="66"/>
  <c r="V8" i="66" s="1"/>
  <c r="W7" i="66"/>
  <c r="W8" i="66" s="1"/>
  <c r="X7" i="66"/>
  <c r="X8" i="66" s="1"/>
  <c r="Y7" i="66"/>
  <c r="Y8" i="66" s="1"/>
  <c r="Z7" i="66"/>
  <c r="Z8" i="66" s="1"/>
  <c r="AB7" i="66"/>
  <c r="AB8" i="66" s="1"/>
  <c r="AC7" i="66"/>
  <c r="AC8" i="66" s="1"/>
  <c r="AD7" i="66"/>
  <c r="AD8" i="66" s="1"/>
  <c r="AE7" i="66"/>
  <c r="AE8" i="66" s="1"/>
  <c r="AF7" i="66"/>
  <c r="AF8" i="66" s="1"/>
  <c r="AG7" i="66"/>
  <c r="AG8" i="66" s="1"/>
  <c r="AH7" i="66"/>
  <c r="AH8" i="66" s="1"/>
  <c r="AI7" i="66"/>
  <c r="O7" i="66"/>
  <c r="O8" i="66" s="1"/>
  <c r="D7" i="66"/>
  <c r="E7" i="66"/>
  <c r="F7" i="66"/>
  <c r="G7" i="66"/>
  <c r="H7" i="66"/>
  <c r="I7" i="66"/>
  <c r="J7" i="66"/>
  <c r="K7" i="66"/>
  <c r="L7" i="66"/>
  <c r="M7" i="66"/>
  <c r="N7" i="66"/>
  <c r="C7" i="66"/>
  <c r="M38" i="59" l="1"/>
  <c r="AC7" i="65"/>
  <c r="K36" i="144"/>
  <c r="K37" i="144"/>
  <c r="N13" i="144"/>
  <c r="N14" i="144"/>
  <c r="N20" i="144"/>
  <c r="N23" i="144"/>
  <c r="N25" i="144"/>
  <c r="N31" i="144"/>
  <c r="N32" i="144"/>
  <c r="N33" i="144"/>
  <c r="N34" i="144"/>
  <c r="M8" i="144"/>
  <c r="M9" i="144"/>
  <c r="M10" i="144"/>
  <c r="M11" i="144"/>
  <c r="M12" i="144"/>
  <c r="M13" i="144"/>
  <c r="M14" i="144"/>
  <c r="M15" i="144"/>
  <c r="M16" i="144"/>
  <c r="M17" i="144"/>
  <c r="M18" i="144"/>
  <c r="M19" i="144"/>
  <c r="M20" i="144"/>
  <c r="M21" i="144"/>
  <c r="M22" i="144"/>
  <c r="M23" i="144"/>
  <c r="M24" i="144"/>
  <c r="M25" i="144"/>
  <c r="M26" i="144"/>
  <c r="M27" i="144"/>
  <c r="M28" i="144"/>
  <c r="M29" i="144"/>
  <c r="M30" i="144"/>
  <c r="M31" i="144"/>
  <c r="M32" i="144"/>
  <c r="M33" i="144"/>
  <c r="M34" i="144"/>
  <c r="M36" i="144"/>
  <c r="M7" i="144"/>
  <c r="L8" i="144"/>
  <c r="L9" i="144"/>
  <c r="L10" i="144"/>
  <c r="L11" i="144"/>
  <c r="L12" i="144"/>
  <c r="L13" i="144"/>
  <c r="L14" i="144"/>
  <c r="L15" i="144"/>
  <c r="L16" i="144"/>
  <c r="L17" i="144"/>
  <c r="L18" i="144"/>
  <c r="L19" i="144"/>
  <c r="L20" i="144"/>
  <c r="L21" i="144"/>
  <c r="L22" i="144"/>
  <c r="L23" i="144"/>
  <c r="L24" i="144"/>
  <c r="L25" i="144"/>
  <c r="L26" i="144"/>
  <c r="L27" i="144"/>
  <c r="L28" i="144"/>
  <c r="L29" i="144"/>
  <c r="L30" i="144"/>
  <c r="L31" i="144"/>
  <c r="L32" i="144"/>
  <c r="L33" i="144"/>
  <c r="L34" i="144"/>
  <c r="L36" i="144"/>
  <c r="L37" i="144"/>
  <c r="L7" i="144"/>
  <c r="K8" i="144"/>
  <c r="K9" i="144"/>
  <c r="K10" i="144"/>
  <c r="K11" i="144"/>
  <c r="K12" i="144"/>
  <c r="K13" i="144"/>
  <c r="K14" i="144"/>
  <c r="K15" i="144"/>
  <c r="K16" i="144"/>
  <c r="K17" i="144"/>
  <c r="K18" i="144"/>
  <c r="K19" i="144"/>
  <c r="K20" i="144"/>
  <c r="K21" i="144"/>
  <c r="K22" i="144"/>
  <c r="K23" i="144"/>
  <c r="K24" i="144"/>
  <c r="K26" i="144"/>
  <c r="K27" i="144"/>
  <c r="K28" i="144"/>
  <c r="K29" i="144"/>
  <c r="K30" i="144"/>
  <c r="K31" i="144"/>
  <c r="K32" i="144"/>
  <c r="K33" i="144"/>
  <c r="K34" i="144"/>
  <c r="K7" i="144"/>
  <c r="H38" i="60"/>
  <c r="D38" i="60"/>
  <c r="E38" i="60"/>
  <c r="F38" i="60"/>
  <c r="G38" i="60"/>
  <c r="C38" i="60"/>
  <c r="D37" i="60"/>
  <c r="E37" i="60"/>
  <c r="F37" i="60"/>
  <c r="G37" i="60"/>
  <c r="H37" i="60"/>
  <c r="C37" i="60"/>
  <c r="D36" i="60"/>
  <c r="E36" i="60"/>
  <c r="F36" i="60"/>
  <c r="G36" i="60"/>
  <c r="H36" i="60"/>
  <c r="C36" i="60"/>
  <c r="D35" i="60"/>
  <c r="E35" i="60"/>
  <c r="F35" i="60"/>
  <c r="G35" i="60"/>
  <c r="H35" i="60"/>
  <c r="C35" i="60"/>
  <c r="D34" i="60"/>
  <c r="E34" i="60"/>
  <c r="F34" i="60"/>
  <c r="G34" i="60"/>
  <c r="H34" i="60"/>
  <c r="C34" i="60"/>
  <c r="D70" i="60"/>
  <c r="D42" i="59"/>
  <c r="E42" i="59"/>
  <c r="F42" i="59"/>
  <c r="G42" i="59"/>
  <c r="H42" i="59"/>
  <c r="I42" i="59"/>
  <c r="J42" i="59"/>
  <c r="K42" i="59"/>
  <c r="L42" i="59"/>
  <c r="M42" i="59"/>
  <c r="N42" i="59"/>
  <c r="O42" i="59"/>
  <c r="P42" i="59"/>
  <c r="Q42" i="59"/>
  <c r="R42" i="59"/>
  <c r="S42" i="59"/>
  <c r="C42" i="59"/>
  <c r="S41" i="59"/>
  <c r="T41" i="59"/>
  <c r="U41" i="59"/>
  <c r="V41" i="59"/>
  <c r="W41" i="59"/>
  <c r="X41" i="59"/>
  <c r="AA41" i="59"/>
  <c r="AB41" i="59"/>
  <c r="D40" i="59"/>
  <c r="E40" i="59"/>
  <c r="F40" i="59"/>
  <c r="G40" i="59"/>
  <c r="H40" i="59"/>
  <c r="I40" i="59"/>
  <c r="J40" i="59"/>
  <c r="K40" i="59"/>
  <c r="L40" i="59"/>
  <c r="M40" i="59"/>
  <c r="N40" i="59"/>
  <c r="O40" i="59"/>
  <c r="P40" i="59"/>
  <c r="Q40" i="59"/>
  <c r="R40" i="59"/>
  <c r="S40" i="59"/>
  <c r="U40" i="59"/>
  <c r="V40" i="59"/>
  <c r="W40" i="59"/>
  <c r="X40" i="59"/>
  <c r="Y40" i="59"/>
  <c r="Z40" i="59"/>
  <c r="AA40" i="59"/>
  <c r="AB40" i="59"/>
  <c r="C70" i="60" l="1"/>
  <c r="G70" i="60"/>
  <c r="F70" i="60"/>
  <c r="I38" i="60"/>
  <c r="E70" i="60"/>
  <c r="H70" i="60"/>
  <c r="C68" i="145" l="1"/>
  <c r="D68" i="145"/>
  <c r="E68" i="145"/>
  <c r="F68" i="145"/>
  <c r="F64" i="145"/>
  <c r="E64" i="145"/>
  <c r="D64" i="145"/>
  <c r="C64" i="145"/>
  <c r="G7" i="145"/>
  <c r="AI36" i="68" l="1"/>
  <c r="N36" i="144" s="1"/>
  <c r="AI11" i="68"/>
  <c r="N11" i="144" s="1"/>
  <c r="AI26" i="68"/>
  <c r="N26" i="144" s="1"/>
  <c r="AI39" i="68"/>
  <c r="AB40" i="64"/>
  <c r="AB40" i="63"/>
  <c r="AI37" i="68" l="1"/>
  <c r="AI42" i="68"/>
  <c r="AI41" i="68"/>
  <c r="AI30" i="68"/>
  <c r="AI29" i="68"/>
  <c r="AI28" i="68"/>
  <c r="AI27" i="68"/>
  <c r="AI24" i="68"/>
  <c r="AI22" i="68"/>
  <c r="AI21" i="68"/>
  <c r="AI19" i="68"/>
  <c r="AI18" i="68"/>
  <c r="AI17" i="68"/>
  <c r="AI16" i="68"/>
  <c r="AI12" i="68"/>
  <c r="AI10" i="68"/>
  <c r="AI9" i="68"/>
  <c r="N9" i="144" l="1"/>
  <c r="N17" i="144"/>
  <c r="N22" i="144"/>
  <c r="N29" i="144"/>
  <c r="N37" i="144"/>
  <c r="N10" i="144"/>
  <c r="N18" i="144"/>
  <c r="N24" i="144"/>
  <c r="N30" i="144"/>
  <c r="N12" i="144"/>
  <c r="N19" i="144"/>
  <c r="N27" i="144"/>
  <c r="N16" i="144"/>
  <c r="N21" i="144"/>
  <c r="N28" i="144"/>
  <c r="AJ9" i="66"/>
  <c r="AJ10" i="66"/>
  <c r="AJ11" i="66"/>
  <c r="AJ12" i="66"/>
  <c r="AJ13" i="66"/>
  <c r="AJ14" i="66"/>
  <c r="AJ15" i="66"/>
  <c r="AJ16" i="66"/>
  <c r="AJ17" i="66"/>
  <c r="AJ18" i="66"/>
  <c r="AJ19" i="66"/>
  <c r="AJ20" i="66"/>
  <c r="AJ22" i="66"/>
  <c r="AJ23" i="66"/>
  <c r="AJ24" i="66"/>
  <c r="AJ25" i="66"/>
  <c r="AJ27" i="66"/>
  <c r="AJ28" i="66"/>
  <c r="AJ29" i="66"/>
  <c r="AJ30" i="66"/>
  <c r="AJ31" i="66"/>
  <c r="AJ32" i="66"/>
  <c r="AJ33" i="66"/>
  <c r="AJ34" i="66"/>
  <c r="AJ35" i="66"/>
  <c r="AJ39" i="66"/>
  <c r="AJ40" i="66"/>
  <c r="AJ43" i="66"/>
  <c r="AJ37" i="66"/>
  <c r="AJ38" i="66"/>
  <c r="AJ7" i="66"/>
  <c r="AB40" i="65" l="1"/>
  <c r="AD40" i="63" s="1"/>
  <c r="AB42" i="65"/>
  <c r="AC42" i="65" s="1"/>
  <c r="G37" i="145"/>
  <c r="AI37" i="67"/>
  <c r="M37" i="144" s="1"/>
  <c r="AI41" i="67"/>
  <c r="AI42" i="66"/>
  <c r="AH42" i="66"/>
  <c r="AG42" i="66"/>
  <c r="AI41" i="66"/>
  <c r="AA40" i="65"/>
  <c r="AB43" i="65"/>
  <c r="AA36" i="65"/>
  <c r="AA36" i="63" s="1"/>
  <c r="Z36" i="65"/>
  <c r="Z36" i="63" s="1"/>
  <c r="AJ8" i="67"/>
  <c r="AJ9" i="67"/>
  <c r="AJ10" i="67"/>
  <c r="AJ12" i="67"/>
  <c r="AJ17" i="67"/>
  <c r="AJ18" i="67"/>
  <c r="AJ19" i="67"/>
  <c r="AJ23" i="67"/>
  <c r="AJ24" i="67"/>
  <c r="AJ26" i="67"/>
  <c r="AJ27" i="67"/>
  <c r="AJ28" i="67"/>
  <c r="AJ30" i="67"/>
  <c r="AJ32" i="67"/>
  <c r="AJ33" i="67"/>
  <c r="AJ34" i="67"/>
  <c r="AJ6" i="67"/>
  <c r="S9" i="146"/>
  <c r="S10" i="146"/>
  <c r="S11" i="146"/>
  <c r="S12" i="146"/>
  <c r="S13" i="146"/>
  <c r="S14" i="146"/>
  <c r="S15" i="146"/>
  <c r="S16" i="146"/>
  <c r="S17" i="146"/>
  <c r="S18" i="146"/>
  <c r="S19" i="146"/>
  <c r="S20" i="146"/>
  <c r="S21" i="146"/>
  <c r="S22" i="146"/>
  <c r="S23" i="146"/>
  <c r="S24" i="146"/>
  <c r="S25" i="146"/>
  <c r="S27" i="146"/>
  <c r="S28" i="146"/>
  <c r="S29" i="146"/>
  <c r="S30" i="146"/>
  <c r="S31" i="146"/>
  <c r="S32" i="146"/>
  <c r="S33" i="146"/>
  <c r="S34" i="146"/>
  <c r="S35" i="146"/>
  <c r="S37" i="146"/>
  <c r="S38" i="146"/>
  <c r="S7" i="146"/>
  <c r="X7" i="64"/>
  <c r="X8" i="64" s="1"/>
  <c r="Y7" i="64"/>
  <c r="Y8" i="64" s="1"/>
  <c r="Z7" i="64"/>
  <c r="AA7" i="64"/>
  <c r="AB7" i="64"/>
  <c r="AD7" i="64" s="1"/>
  <c r="W7" i="64"/>
  <c r="AE9" i="63"/>
  <c r="AE10" i="63"/>
  <c r="AE11" i="63"/>
  <c r="AE12" i="63"/>
  <c r="AE13" i="63"/>
  <c r="AE14" i="63"/>
  <c r="AE15" i="63"/>
  <c r="AE16" i="63"/>
  <c r="AE17" i="63"/>
  <c r="AE18" i="63"/>
  <c r="AE19" i="63"/>
  <c r="AE20" i="63"/>
  <c r="AE21" i="63"/>
  <c r="AE22" i="63"/>
  <c r="AE23" i="63"/>
  <c r="AE24" i="63"/>
  <c r="AE25" i="63"/>
  <c r="AE26" i="63"/>
  <c r="AE27" i="63"/>
  <c r="AE28" i="63"/>
  <c r="AE29" i="63"/>
  <c r="AE30" i="63"/>
  <c r="AE31" i="63"/>
  <c r="AE32" i="63"/>
  <c r="AE33" i="63"/>
  <c r="AE34" i="63"/>
  <c r="AE35" i="63"/>
  <c r="AE39" i="63"/>
  <c r="AE40" i="63"/>
  <c r="AE37" i="63"/>
  <c r="AE38" i="63"/>
  <c r="C104" i="145" l="1"/>
  <c r="D104" i="145"/>
  <c r="E104" i="145"/>
  <c r="F104" i="145"/>
  <c r="AJ42" i="66"/>
  <c r="AB43" i="63"/>
  <c r="AC40" i="65"/>
  <c r="AD40" i="64"/>
  <c r="AE7" i="64"/>
  <c r="W8" i="64"/>
  <c r="Z8" i="64"/>
  <c r="AA8" i="64"/>
  <c r="X7" i="63"/>
  <c r="X8" i="63" s="1"/>
  <c r="Y7" i="63"/>
  <c r="Y8" i="63" s="1"/>
  <c r="Z7" i="63"/>
  <c r="Z8" i="63" s="1"/>
  <c r="AA7" i="63"/>
  <c r="AA8" i="63" s="1"/>
  <c r="AB7" i="63"/>
  <c r="W7" i="63"/>
  <c r="W8" i="63" s="1"/>
  <c r="AE43" i="63" l="1"/>
  <c r="AE7" i="63"/>
  <c r="F57" i="145"/>
  <c r="F58" i="145"/>
  <c r="F59" i="145"/>
  <c r="F60" i="145"/>
  <c r="F61" i="145"/>
  <c r="E57" i="145"/>
  <c r="E58" i="145"/>
  <c r="E59" i="145"/>
  <c r="E60" i="145"/>
  <c r="E61" i="145"/>
  <c r="E62" i="145"/>
  <c r="D57" i="145"/>
  <c r="D58" i="145"/>
  <c r="D59" i="145"/>
  <c r="D60" i="145"/>
  <c r="D61" i="145"/>
  <c r="D62" i="145"/>
  <c r="C59" i="145"/>
  <c r="C60" i="145"/>
  <c r="C61" i="145"/>
  <c r="C62" i="145"/>
  <c r="C63" i="145"/>
  <c r="E63" i="145" l="1"/>
  <c r="D63" i="145"/>
  <c r="F7" i="146"/>
  <c r="G7" i="146"/>
  <c r="H7" i="146"/>
  <c r="I7" i="146"/>
  <c r="J7" i="146"/>
  <c r="K7" i="146"/>
  <c r="L7" i="146"/>
  <c r="M7" i="146"/>
  <c r="N7" i="146"/>
  <c r="O7" i="146"/>
  <c r="E7" i="146"/>
  <c r="D7" i="146"/>
  <c r="AG11" i="68"/>
  <c r="AF11" i="68"/>
  <c r="AF6" i="68" s="1"/>
  <c r="AH11" i="68"/>
  <c r="AJ11" i="68" s="1"/>
  <c r="U38" i="59" l="1"/>
  <c r="K8" i="146"/>
  <c r="X38" i="59"/>
  <c r="N8" i="146"/>
  <c r="W38" i="59"/>
  <c r="M8" i="146"/>
  <c r="Y38" i="59"/>
  <c r="O8" i="146"/>
  <c r="Q38" i="59"/>
  <c r="G8" i="146"/>
  <c r="T38" i="59"/>
  <c r="J8" i="146"/>
  <c r="P38" i="59"/>
  <c r="F8" i="146"/>
  <c r="N38" i="59"/>
  <c r="D8" i="146"/>
  <c r="S38" i="59"/>
  <c r="S44" i="59" s="1"/>
  <c r="I8" i="146"/>
  <c r="O38" i="59"/>
  <c r="E8" i="146"/>
  <c r="V38" i="59"/>
  <c r="L8" i="146"/>
  <c r="R38" i="59"/>
  <c r="H8" i="146"/>
  <c r="AH37" i="67" l="1"/>
  <c r="AJ37" i="67" s="1"/>
  <c r="AG37" i="67"/>
  <c r="AH41" i="67"/>
  <c r="AJ41" i="67" s="1"/>
  <c r="AG41" i="68"/>
  <c r="AG36" i="68"/>
  <c r="AH32" i="68"/>
  <c r="AJ32" i="68" s="1"/>
  <c r="F62" i="145" l="1"/>
  <c r="G35" i="145"/>
  <c r="AH39" i="68"/>
  <c r="AJ39" i="68" s="1"/>
  <c r="AH36" i="68"/>
  <c r="AJ36" i="68" s="1"/>
  <c r="AF36" i="68"/>
  <c r="AH42" i="68"/>
  <c r="AJ42" i="68" s="1"/>
  <c r="AH41" i="68"/>
  <c r="AJ41" i="68" s="1"/>
  <c r="AH30" i="68"/>
  <c r="AJ30" i="68" s="1"/>
  <c r="AH26" i="68"/>
  <c r="AJ26" i="68" s="1"/>
  <c r="AG15" i="68"/>
  <c r="AH37" i="68"/>
  <c r="AJ37" i="68" s="1"/>
  <c r="AH29" i="68"/>
  <c r="AJ29" i="68" s="1"/>
  <c r="AH28" i="68"/>
  <c r="AJ28" i="68" s="1"/>
  <c r="AH27" i="68"/>
  <c r="AJ27" i="68" s="1"/>
  <c r="AH24" i="68"/>
  <c r="AJ24" i="68" s="1"/>
  <c r="AH22" i="68"/>
  <c r="AJ22" i="68" s="1"/>
  <c r="AH21" i="68"/>
  <c r="AJ21" i="68" s="1"/>
  <c r="AH19" i="68"/>
  <c r="AJ19" i="68" s="1"/>
  <c r="AH18" i="68"/>
  <c r="AJ18" i="68" s="1"/>
  <c r="AH17" i="68"/>
  <c r="AJ17" i="68" s="1"/>
  <c r="AH16" i="68"/>
  <c r="AJ16" i="68" s="1"/>
  <c r="AH15" i="68"/>
  <c r="AH12" i="68"/>
  <c r="AJ12" i="68" s="1"/>
  <c r="AH10" i="68"/>
  <c r="AJ10" i="68" s="1"/>
  <c r="AH9" i="68"/>
  <c r="AJ9" i="68" s="1"/>
  <c r="Z42" i="65"/>
  <c r="AA40" i="64"/>
  <c r="AE40" i="64" s="1"/>
  <c r="AI15" i="68" l="1"/>
  <c r="F63" i="145"/>
  <c r="G36" i="145"/>
  <c r="F102" i="145"/>
  <c r="E102" i="145"/>
  <c r="C102" i="145"/>
  <c r="D102" i="145"/>
  <c r="AA43" i="65"/>
  <c r="Y36" i="65"/>
  <c r="AB36" i="65" s="1"/>
  <c r="X36" i="65"/>
  <c r="W36" i="65"/>
  <c r="AH41" i="66"/>
  <c r="AJ41" i="66" s="1"/>
  <c r="D103" i="145" l="1"/>
  <c r="E103" i="145"/>
  <c r="F103" i="145"/>
  <c r="G64" i="145"/>
  <c r="N15" i="144"/>
  <c r="AJ15" i="68"/>
  <c r="AC36" i="65"/>
  <c r="AB36" i="63"/>
  <c r="AC43" i="65"/>
  <c r="C103" i="145"/>
  <c r="G63" i="145"/>
  <c r="AE36" i="63" l="1"/>
  <c r="G34" i="145"/>
  <c r="G61" i="60"/>
  <c r="E53" i="60"/>
  <c r="F49" i="60"/>
  <c r="G46" i="60"/>
  <c r="G47" i="60"/>
  <c r="F48" i="60"/>
  <c r="D50" i="60"/>
  <c r="G51" i="60"/>
  <c r="D52" i="60"/>
  <c r="H54" i="60"/>
  <c r="H55" i="60"/>
  <c r="H56" i="60"/>
  <c r="G58" i="60"/>
  <c r="H58" i="60"/>
  <c r="G59" i="60"/>
  <c r="E60" i="60"/>
  <c r="F62" i="60"/>
  <c r="C63" i="60"/>
  <c r="F64" i="60"/>
  <c r="K41" i="59"/>
  <c r="K44" i="59" s="1"/>
  <c r="L41" i="59"/>
  <c r="L44" i="59" s="1"/>
  <c r="M41" i="59"/>
  <c r="M44" i="59" s="1"/>
  <c r="U6" i="67"/>
  <c r="N41" i="59" s="1"/>
  <c r="N44" i="59" s="1"/>
  <c r="V6" i="67"/>
  <c r="O41" i="59" s="1"/>
  <c r="O44" i="59" s="1"/>
  <c r="W6" i="67"/>
  <c r="P41" i="59" s="1"/>
  <c r="P44" i="59" s="1"/>
  <c r="X6" i="67"/>
  <c r="Q41" i="59" s="1"/>
  <c r="Q44" i="59" s="1"/>
  <c r="Y6" i="67"/>
  <c r="R41" i="59" s="1"/>
  <c r="R44" i="59" s="1"/>
  <c r="F74" i="145"/>
  <c r="G8" i="145"/>
  <c r="C75" i="145" s="1"/>
  <c r="G9" i="145"/>
  <c r="C76" i="145" s="1"/>
  <c r="G10" i="145"/>
  <c r="C77" i="145" s="1"/>
  <c r="G11" i="145"/>
  <c r="C78" i="145" s="1"/>
  <c r="G12" i="145"/>
  <c r="F79" i="145" s="1"/>
  <c r="G13" i="145"/>
  <c r="C80" i="145" s="1"/>
  <c r="G14" i="145"/>
  <c r="C81" i="145" s="1"/>
  <c r="G15" i="145"/>
  <c r="E82" i="145" s="1"/>
  <c r="G16" i="145"/>
  <c r="C83" i="145" s="1"/>
  <c r="G17" i="145"/>
  <c r="D84" i="145" s="1"/>
  <c r="G18" i="145"/>
  <c r="F85" i="145" s="1"/>
  <c r="G19" i="145"/>
  <c r="F86" i="145" s="1"/>
  <c r="G20" i="145"/>
  <c r="F87" i="145" s="1"/>
  <c r="G21" i="145"/>
  <c r="C88" i="145" s="1"/>
  <c r="G22" i="145"/>
  <c r="F89" i="145" s="1"/>
  <c r="G23" i="145"/>
  <c r="C90" i="145" s="1"/>
  <c r="G24" i="145"/>
  <c r="E91" i="145" s="1"/>
  <c r="G25" i="145"/>
  <c r="C92" i="145" s="1"/>
  <c r="G26" i="145"/>
  <c r="E93" i="145" s="1"/>
  <c r="G27" i="145"/>
  <c r="C94" i="145" s="1"/>
  <c r="G28" i="145"/>
  <c r="G68" i="145" s="1"/>
  <c r="G29" i="145"/>
  <c r="C96" i="145" s="1"/>
  <c r="G30" i="145"/>
  <c r="G31" i="145"/>
  <c r="G32" i="145"/>
  <c r="D99" i="145" s="1"/>
  <c r="G33" i="145"/>
  <c r="C100" i="145" s="1"/>
  <c r="C45" i="145"/>
  <c r="D45" i="145"/>
  <c r="E45" i="145"/>
  <c r="F45" i="145"/>
  <c r="C46" i="145"/>
  <c r="D46" i="145"/>
  <c r="E46" i="145"/>
  <c r="F46" i="145"/>
  <c r="C47" i="145"/>
  <c r="D47" i="145"/>
  <c r="E47" i="145"/>
  <c r="F47" i="145"/>
  <c r="C48" i="145"/>
  <c r="D48" i="145"/>
  <c r="E48" i="145"/>
  <c r="F48" i="145"/>
  <c r="C49" i="145"/>
  <c r="D49" i="145"/>
  <c r="E49" i="145"/>
  <c r="F49" i="145"/>
  <c r="C50" i="145"/>
  <c r="D50" i="145"/>
  <c r="E50" i="145"/>
  <c r="F50" i="145"/>
  <c r="C51" i="145"/>
  <c r="D51" i="145"/>
  <c r="E51" i="145"/>
  <c r="F51" i="145"/>
  <c r="C52" i="145"/>
  <c r="D52" i="145"/>
  <c r="E52" i="145"/>
  <c r="F52" i="145"/>
  <c r="C53" i="145"/>
  <c r="D53" i="145"/>
  <c r="E53" i="145"/>
  <c r="F53" i="145"/>
  <c r="C54" i="145"/>
  <c r="D54" i="145"/>
  <c r="E54" i="145"/>
  <c r="F54" i="145"/>
  <c r="C55" i="145"/>
  <c r="D55" i="145"/>
  <c r="E55" i="145"/>
  <c r="F55" i="145"/>
  <c r="C56" i="145"/>
  <c r="D56" i="145"/>
  <c r="E56" i="145"/>
  <c r="F56" i="145"/>
  <c r="C57" i="145"/>
  <c r="C58" i="145"/>
  <c r="C65" i="145"/>
  <c r="D65" i="145"/>
  <c r="E65" i="145"/>
  <c r="F65" i="145"/>
  <c r="C66" i="145"/>
  <c r="D66" i="145"/>
  <c r="E66" i="145"/>
  <c r="F66" i="145"/>
  <c r="C67" i="145"/>
  <c r="D67" i="145"/>
  <c r="E67" i="145"/>
  <c r="F67" i="145"/>
  <c r="E74" i="145"/>
  <c r="AC8" i="68"/>
  <c r="AC29" i="68"/>
  <c r="AD29" i="68"/>
  <c r="AE29" i="68"/>
  <c r="AB32" i="68"/>
  <c r="AB6" i="68" s="1"/>
  <c r="AB7" i="68" s="1"/>
  <c r="AC43" i="68"/>
  <c r="AD43" i="68" s="1"/>
  <c r="AA42" i="68"/>
  <c r="C41" i="59"/>
  <c r="D41" i="59"/>
  <c r="D44" i="59" s="1"/>
  <c r="E41" i="59"/>
  <c r="E44" i="59" s="1"/>
  <c r="F41" i="59"/>
  <c r="F44" i="59" s="1"/>
  <c r="G41" i="59"/>
  <c r="G44" i="59" s="1"/>
  <c r="H41" i="59"/>
  <c r="H44" i="59" s="1"/>
  <c r="I41" i="59"/>
  <c r="I44" i="59" s="1"/>
  <c r="J41" i="59"/>
  <c r="J44" i="59" s="1"/>
  <c r="AF33" i="67"/>
  <c r="C40" i="59"/>
  <c r="C44" i="59" s="1"/>
  <c r="AA9" i="66"/>
  <c r="AA7" i="66" s="1"/>
  <c r="C7" i="65"/>
  <c r="C8" i="65" s="1"/>
  <c r="V41" i="65"/>
  <c r="W41" i="65" s="1"/>
  <c r="T43" i="65"/>
  <c r="I7" i="64"/>
  <c r="I8" i="64" s="1"/>
  <c r="J7" i="64"/>
  <c r="J8" i="64" s="1"/>
  <c r="K7" i="64"/>
  <c r="K8" i="64" s="1"/>
  <c r="L7" i="64"/>
  <c r="L8" i="64" s="1"/>
  <c r="M7" i="64"/>
  <c r="M8" i="64" s="1"/>
  <c r="N7" i="64"/>
  <c r="N8" i="64" s="1"/>
  <c r="O7" i="64"/>
  <c r="O8" i="64" s="1"/>
  <c r="P7" i="64"/>
  <c r="P8" i="64" s="1"/>
  <c r="Q7" i="64"/>
  <c r="Q8" i="64" s="1"/>
  <c r="R7" i="64"/>
  <c r="R8" i="64" s="1"/>
  <c r="S7" i="64"/>
  <c r="S8" i="64" s="1"/>
  <c r="T7" i="64"/>
  <c r="T8" i="64" s="1"/>
  <c r="U7" i="64"/>
  <c r="U8" i="64" s="1"/>
  <c r="V7" i="64"/>
  <c r="I7" i="63"/>
  <c r="I8" i="63" s="1"/>
  <c r="J7" i="63"/>
  <c r="J8" i="63" s="1"/>
  <c r="K7" i="63"/>
  <c r="K8" i="63" s="1"/>
  <c r="L7" i="63"/>
  <c r="L8" i="63" s="1"/>
  <c r="M7" i="63"/>
  <c r="M8" i="63" s="1"/>
  <c r="N7" i="63"/>
  <c r="N8" i="63" s="1"/>
  <c r="O7" i="63"/>
  <c r="O8" i="63" s="1"/>
  <c r="P7" i="63"/>
  <c r="P8" i="63" s="1"/>
  <c r="Q7" i="63"/>
  <c r="Q8" i="63" s="1"/>
  <c r="R7" i="63"/>
  <c r="R8" i="63" s="1"/>
  <c r="S7" i="63"/>
  <c r="S8" i="63" s="1"/>
  <c r="T7" i="63"/>
  <c r="T8" i="63" s="1"/>
  <c r="U7" i="63"/>
  <c r="U8" i="63" s="1"/>
  <c r="V7" i="63"/>
  <c r="V8" i="63" s="1"/>
  <c r="V36" i="63"/>
  <c r="H57" i="60"/>
  <c r="E58" i="60"/>
  <c r="D58" i="60"/>
  <c r="F55" i="60"/>
  <c r="F58" i="60"/>
  <c r="E55" i="60"/>
  <c r="D74" i="145"/>
  <c r="F99" i="145"/>
  <c r="AD8" i="68" l="1"/>
  <c r="AD6" i="68" s="1"/>
  <c r="AD7" i="68" s="1"/>
  <c r="AC6" i="68"/>
  <c r="AC7" i="68" s="1"/>
  <c r="AG33" i="67"/>
  <c r="AF6" i="67"/>
  <c r="AA8" i="66"/>
  <c r="T40" i="59"/>
  <c r="V8" i="64"/>
  <c r="G53" i="60"/>
  <c r="C53" i="60"/>
  <c r="D53" i="60"/>
  <c r="F53" i="60"/>
  <c r="G50" i="60"/>
  <c r="I36" i="60"/>
  <c r="I37" i="60"/>
  <c r="E50" i="60"/>
  <c r="H45" i="60"/>
  <c r="I35" i="60"/>
  <c r="I34" i="60"/>
  <c r="C45" i="60"/>
  <c r="E47" i="60"/>
  <c r="G48" i="60"/>
  <c r="D54" i="60"/>
  <c r="D48" i="60"/>
  <c r="H48" i="60"/>
  <c r="E45" i="60"/>
  <c r="C48" i="60"/>
  <c r="H47" i="60"/>
  <c r="C47" i="60"/>
  <c r="F47" i="60"/>
  <c r="F51" i="60"/>
  <c r="H62" i="60"/>
  <c r="F45" i="60"/>
  <c r="D45" i="60"/>
  <c r="G45" i="60"/>
  <c r="G54" i="60"/>
  <c r="H53" i="60"/>
  <c r="E51" i="60"/>
  <c r="C49" i="60"/>
  <c r="C62" i="60"/>
  <c r="E54" i="60"/>
  <c r="E48" i="60"/>
  <c r="G49" i="60"/>
  <c r="H51" i="60"/>
  <c r="D51" i="60"/>
  <c r="C51" i="60"/>
  <c r="D49" i="60"/>
  <c r="C87" i="145"/>
  <c r="C74" i="145"/>
  <c r="E96" i="145"/>
  <c r="D88" i="145"/>
  <c r="E88" i="145"/>
  <c r="E95" i="145"/>
  <c r="E83" i="145"/>
  <c r="C91" i="145"/>
  <c r="F95" i="145"/>
  <c r="E76" i="145"/>
  <c r="F91" i="145"/>
  <c r="D91" i="145"/>
  <c r="D95" i="145"/>
  <c r="F83" i="145"/>
  <c r="G52" i="145"/>
  <c r="D76" i="145"/>
  <c r="E86" i="145"/>
  <c r="D78" i="145"/>
  <c r="F82" i="145"/>
  <c r="G59" i="145"/>
  <c r="G60" i="60"/>
  <c r="X41" i="65"/>
  <c r="Y41" i="65" s="1"/>
  <c r="E100" i="145"/>
  <c r="G60" i="145"/>
  <c r="F97" i="145"/>
  <c r="G57" i="145"/>
  <c r="C101" i="145"/>
  <c r="G61" i="145"/>
  <c r="G62" i="145"/>
  <c r="D98" i="145"/>
  <c r="G58" i="145"/>
  <c r="E97" i="145"/>
  <c r="G48" i="145"/>
  <c r="D100" i="145"/>
  <c r="E80" i="145"/>
  <c r="D80" i="145"/>
  <c r="F76" i="145"/>
  <c r="F100" i="145"/>
  <c r="C95" i="145"/>
  <c r="E92" i="145"/>
  <c r="F77" i="145"/>
  <c r="D93" i="145"/>
  <c r="D97" i="145"/>
  <c r="E77" i="145"/>
  <c r="F75" i="145"/>
  <c r="F88" i="145"/>
  <c r="F93" i="145"/>
  <c r="G45" i="145"/>
  <c r="E75" i="145"/>
  <c r="C97" i="145"/>
  <c r="D81" i="145"/>
  <c r="D77" i="145"/>
  <c r="D75" i="145"/>
  <c r="C93" i="145"/>
  <c r="F96" i="145"/>
  <c r="D85" i="145"/>
  <c r="E78" i="145"/>
  <c r="G47" i="145"/>
  <c r="F84" i="145"/>
  <c r="F81" i="145"/>
  <c r="G55" i="145"/>
  <c r="D86" i="145"/>
  <c r="D83" i="145"/>
  <c r="F90" i="145"/>
  <c r="C89" i="145"/>
  <c r="C84" i="145"/>
  <c r="E81" i="145"/>
  <c r="F78" i="145"/>
  <c r="E98" i="145"/>
  <c r="D89" i="145"/>
  <c r="C86" i="145"/>
  <c r="F80" i="145"/>
  <c r="D101" i="145"/>
  <c r="E101" i="145"/>
  <c r="C82" i="145"/>
  <c r="F101" i="145"/>
  <c r="D82" i="145"/>
  <c r="H63" i="60"/>
  <c r="F61" i="60"/>
  <c r="F63" i="60"/>
  <c r="C61" i="60"/>
  <c r="E61" i="60"/>
  <c r="D61" i="60"/>
  <c r="D63" i="60"/>
  <c r="D59" i="60"/>
  <c r="E63" i="60"/>
  <c r="D47" i="60"/>
  <c r="G63" i="60"/>
  <c r="C50" i="60"/>
  <c r="H49" i="60"/>
  <c r="E64" i="60"/>
  <c r="H64" i="60"/>
  <c r="G62" i="60"/>
  <c r="H61" i="60"/>
  <c r="E59" i="60"/>
  <c r="F59" i="60"/>
  <c r="H59" i="60"/>
  <c r="C59" i="60"/>
  <c r="D57" i="60"/>
  <c r="E57" i="60"/>
  <c r="F57" i="60"/>
  <c r="G57" i="60"/>
  <c r="C57" i="60"/>
  <c r="D55" i="60"/>
  <c r="G55" i="60"/>
  <c r="C55" i="60"/>
  <c r="G54" i="145"/>
  <c r="G46" i="145"/>
  <c r="F92" i="145"/>
  <c r="D79" i="145"/>
  <c r="E87" i="145"/>
  <c r="D92" i="145"/>
  <c r="G50" i="145"/>
  <c r="G53" i="145"/>
  <c r="D96" i="145"/>
  <c r="G56" i="145"/>
  <c r="G51" i="145"/>
  <c r="C85" i="145"/>
  <c r="E79" i="145"/>
  <c r="D87" i="145"/>
  <c r="F94" i="145"/>
  <c r="E90" i="145"/>
  <c r="E84" i="145"/>
  <c r="C79" i="145"/>
  <c r="D94" i="145"/>
  <c r="E99" i="145"/>
  <c r="G67" i="145"/>
  <c r="E94" i="145"/>
  <c r="C99" i="145"/>
  <c r="G65" i="145"/>
  <c r="G49" i="145"/>
  <c r="E89" i="145"/>
  <c r="C98" i="145"/>
  <c r="F98" i="145"/>
  <c r="D90" i="145"/>
  <c r="G66" i="145"/>
  <c r="E85" i="145"/>
  <c r="O15" i="144"/>
  <c r="F15" i="144" s="1"/>
  <c r="O37" i="144"/>
  <c r="O36" i="144"/>
  <c r="C46" i="60"/>
  <c r="G64" i="60"/>
  <c r="H50" i="60"/>
  <c r="E49" i="60"/>
  <c r="D62" i="60"/>
  <c r="C54" i="60"/>
  <c r="E62" i="60"/>
  <c r="D56" i="60"/>
  <c r="C64" i="60"/>
  <c r="F54" i="60"/>
  <c r="F50" i="60"/>
  <c r="C60" i="60"/>
  <c r="E52" i="60"/>
  <c r="F60" i="60"/>
  <c r="F56" i="60"/>
  <c r="F52" i="60"/>
  <c r="H52" i="60"/>
  <c r="H46" i="60"/>
  <c r="C56" i="60"/>
  <c r="F46" i="60"/>
  <c r="D60" i="60"/>
  <c r="G52" i="60"/>
  <c r="D46" i="60"/>
  <c r="C58" i="60"/>
  <c r="G56" i="60"/>
  <c r="E46" i="60"/>
  <c r="E56" i="60"/>
  <c r="D64" i="60"/>
  <c r="H60" i="60"/>
  <c r="C52" i="60"/>
  <c r="O30" i="144"/>
  <c r="D30" i="144" s="1"/>
  <c r="O18" i="144"/>
  <c r="E18" i="144" s="1"/>
  <c r="O14" i="144"/>
  <c r="C14" i="144" s="1"/>
  <c r="O33" i="144"/>
  <c r="E33" i="144" s="1"/>
  <c r="O12" i="144"/>
  <c r="C12" i="144" s="1"/>
  <c r="O29" i="144"/>
  <c r="C29" i="144" s="1"/>
  <c r="O21" i="144"/>
  <c r="F21" i="144" s="1"/>
  <c r="O17" i="144"/>
  <c r="D17" i="144" s="1"/>
  <c r="AE43" i="68"/>
  <c r="O32" i="144"/>
  <c r="D32" i="144" s="1"/>
  <c r="O28" i="144"/>
  <c r="D28" i="144" s="1"/>
  <c r="O24" i="144"/>
  <c r="E24" i="144" s="1"/>
  <c r="O20" i="144"/>
  <c r="C20" i="144" s="1"/>
  <c r="O25" i="144"/>
  <c r="AE8" i="68"/>
  <c r="AE6" i="68" s="1"/>
  <c r="O34" i="144"/>
  <c r="E34" i="144" s="1"/>
  <c r="O22" i="144"/>
  <c r="C22" i="144" s="1"/>
  <c r="O16" i="144"/>
  <c r="C16" i="144" s="1"/>
  <c r="O31" i="144"/>
  <c r="D31" i="144" s="1"/>
  <c r="O26" i="144"/>
  <c r="C26" i="144" s="1"/>
  <c r="O27" i="144"/>
  <c r="O19" i="144"/>
  <c r="O23" i="144"/>
  <c r="C23" i="144" s="1"/>
  <c r="Z41" i="65" l="1"/>
  <c r="AE7" i="68"/>
  <c r="AF7" i="67"/>
  <c r="Y41" i="59"/>
  <c r="AG6" i="67"/>
  <c r="AA41" i="65"/>
  <c r="C37" i="144"/>
  <c r="D37" i="144"/>
  <c r="D36" i="144"/>
  <c r="C36" i="144"/>
  <c r="F36" i="144"/>
  <c r="AF43" i="68"/>
  <c r="AF7" i="68" s="1"/>
  <c r="AG8" i="68"/>
  <c r="O13" i="144"/>
  <c r="C13" i="144" s="1"/>
  <c r="F37" i="144"/>
  <c r="E30" i="144"/>
  <c r="D15" i="144"/>
  <c r="E37" i="144"/>
  <c r="C15" i="144"/>
  <c r="C21" i="144"/>
  <c r="D21" i="144"/>
  <c r="F28" i="144"/>
  <c r="D14" i="144"/>
  <c r="F22" i="144"/>
  <c r="F30" i="144"/>
  <c r="F18" i="144"/>
  <c r="D24" i="144"/>
  <c r="C18" i="144"/>
  <c r="D18" i="144"/>
  <c r="C32" i="144"/>
  <c r="C30" i="144"/>
  <c r="C24" i="144"/>
  <c r="E17" i="144"/>
  <c r="E26" i="144"/>
  <c r="F24" i="144"/>
  <c r="F17" i="144"/>
  <c r="E32" i="144"/>
  <c r="F29" i="144"/>
  <c r="F32" i="144"/>
  <c r="C17" i="144"/>
  <c r="D29" i="144"/>
  <c r="E22" i="144"/>
  <c r="D22" i="144"/>
  <c r="F12" i="144"/>
  <c r="C33" i="144"/>
  <c r="D12" i="144"/>
  <c r="E12" i="144"/>
  <c r="C28" i="144"/>
  <c r="C34" i="144"/>
  <c r="E28" i="144"/>
  <c r="D16" i="144"/>
  <c r="D33" i="144"/>
  <c r="F26" i="144"/>
  <c r="D34" i="144"/>
  <c r="F16" i="144"/>
  <c r="D26" i="144"/>
  <c r="C31" i="144"/>
  <c r="F19" i="144"/>
  <c r="E19" i="144"/>
  <c r="D19" i="144"/>
  <c r="E27" i="144"/>
  <c r="D27" i="144"/>
  <c r="F27" i="144"/>
  <c r="C19" i="144"/>
  <c r="E23" i="144"/>
  <c r="D23" i="144"/>
  <c r="C27" i="144"/>
  <c r="AG6" i="68" l="1"/>
  <c r="AG7" i="67"/>
  <c r="Z41" i="59"/>
  <c r="AC41" i="65"/>
  <c r="F65" i="60"/>
  <c r="AG43" i="68"/>
  <c r="AH43" i="68" s="1"/>
  <c r="AH8" i="68"/>
  <c r="AH6" i="68" s="1"/>
  <c r="D13" i="144"/>
  <c r="AI8" i="68" l="1"/>
  <c r="AI6" i="68" s="1"/>
  <c r="AH7" i="68"/>
  <c r="AA42" i="59"/>
  <c r="AA44" i="59" s="1"/>
  <c r="AG7" i="68"/>
  <c r="Z42" i="59"/>
  <c r="Z44" i="59" s="1"/>
  <c r="H65" i="60"/>
  <c r="E65" i="60"/>
  <c r="G65" i="60"/>
  <c r="C65" i="60"/>
  <c r="D65" i="60"/>
  <c r="F66" i="60"/>
  <c r="G66" i="60"/>
  <c r="E66" i="60"/>
  <c r="D66" i="60"/>
  <c r="H66" i="60"/>
  <c r="C66" i="60"/>
  <c r="O10" i="144"/>
  <c r="O11" i="144"/>
  <c r="F11" i="144" s="1"/>
  <c r="AJ8" i="68" l="1"/>
  <c r="N8" i="144"/>
  <c r="O8" i="144" s="1"/>
  <c r="C8" i="144" s="1"/>
  <c r="AJ6" i="68"/>
  <c r="N7" i="144"/>
  <c r="AB42" i="59"/>
  <c r="AB44" i="59" s="1"/>
  <c r="F67" i="60"/>
  <c r="E10" i="144"/>
  <c r="C10" i="144"/>
  <c r="D10" i="144"/>
  <c r="O9" i="144"/>
  <c r="C11" i="144"/>
  <c r="D11" i="144"/>
  <c r="F10" i="144"/>
  <c r="O7" i="144" l="1"/>
  <c r="F7" i="144" s="1"/>
  <c r="D67" i="60"/>
  <c r="C67" i="60"/>
  <c r="G67" i="60"/>
  <c r="H67" i="60"/>
  <c r="E67" i="60"/>
  <c r="F68" i="60"/>
  <c r="E8" i="144"/>
  <c r="D8" i="144"/>
  <c r="D9" i="144"/>
  <c r="C9" i="144"/>
  <c r="E9" i="144"/>
  <c r="F8" i="144"/>
  <c r="F9" i="144"/>
  <c r="C7" i="144"/>
  <c r="D7" i="144"/>
  <c r="E7" i="144"/>
  <c r="E68" i="60" l="1"/>
  <c r="G68" i="60"/>
  <c r="C68" i="60"/>
  <c r="H68" i="60"/>
  <c r="D68" i="60"/>
  <c r="H69" i="60"/>
  <c r="D69" i="60"/>
  <c r="G69" i="60"/>
  <c r="C69" i="60"/>
  <c r="E69" i="60"/>
  <c r="F69" i="60"/>
  <c r="X42" i="59" l="1"/>
  <c r="X44" i="59" s="1"/>
  <c r="T42" i="59"/>
  <c r="T44" i="59" s="1"/>
  <c r="V42" i="59"/>
  <c r="V44" i="59" s="1"/>
  <c r="W42" i="59"/>
  <c r="W44" i="59" s="1"/>
  <c r="U42" i="59"/>
  <c r="U44" i="59" s="1"/>
  <c r="Y42" i="59"/>
  <c r="Y44" i="59" s="1"/>
</calcChain>
</file>

<file path=xl/sharedStrings.xml><?xml version="1.0" encoding="utf-8"?>
<sst xmlns="http://schemas.openxmlformats.org/spreadsheetml/2006/main" count="1993" uniqueCount="157">
  <si>
    <t xml:space="preserve">      </t>
  </si>
  <si>
    <t xml:space="preserve">     </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</si>
  <si>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</si>
  <si>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</si>
  <si>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</si>
  <si>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</si>
  <si>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</si>
  <si>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</si>
  <si>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</si>
  <si>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</si>
  <si>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</si>
  <si>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</si>
  <si>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</si>
  <si>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</si>
  <si>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</si>
  <si>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</si>
  <si>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</si>
  <si>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</si>
  <si>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</si>
  <si>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</si>
  <si>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</si>
  <si>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</si>
  <si>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</si>
  <si>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</si>
  <si>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</si>
  <si>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</si>
  <si>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</si>
  <si>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</si>
  <si>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</si>
  <si>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</si>
  <si>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</si>
  <si>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</si>
  <si>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</si>
  <si>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</si>
  <si>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</si>
  <si>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</si>
  <si>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</si>
  <si>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Inland Waterways</t>
  </si>
  <si>
    <t>Railways</t>
  </si>
  <si>
    <t>Sea</t>
  </si>
  <si>
    <t>Road</t>
  </si>
  <si>
    <t>Rail</t>
  </si>
  <si>
    <t>Air</t>
  </si>
  <si>
    <t>Total</t>
  </si>
  <si>
    <t>Pipelines</t>
  </si>
  <si>
    <t>Inland Waterway</t>
  </si>
  <si>
    <t>Inland Water- ways</t>
  </si>
  <si>
    <t>per year</t>
  </si>
  <si>
    <t>Modal split</t>
  </si>
  <si>
    <t>(%)</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</si>
  <si>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</si>
  <si>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</si>
  <si>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</si>
  <si>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</si>
  <si>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</si>
  <si>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</si>
  <si>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</si>
  <si>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USA</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</si>
  <si>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</si>
  <si>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</si>
  <si>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</si>
  <si>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</si>
  <si>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</si>
  <si>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</si>
  <si>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</si>
  <si>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</si>
  <si>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</si>
  <si>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</si>
  <si>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r>
      <t>CH</t>
    </r>
    <r>
      <rPr>
        <b/>
        <vertAlign val="subscript"/>
        <sz val="8"/>
        <rFont val="Arial"/>
        <family val="2"/>
      </rPr>
      <t>(1)</t>
    </r>
  </si>
  <si>
    <t>Pipe- lines</t>
  </si>
  <si>
    <t>(*) (including cross-trade and cabotage)</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</si>
  <si>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</si>
  <si>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</si>
  <si>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</si>
  <si>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</si>
  <si>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</si>
  <si>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</si>
  <si>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</si>
  <si>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</si>
  <si>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</si>
  <si>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</si>
  <si>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</si>
  <si>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</si>
  <si>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</si>
  <si>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</si>
  <si>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</si>
  <si>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</si>
  <si>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</si>
  <si>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</si>
  <si>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</si>
  <si>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</si>
  <si>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</si>
  <si>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</si>
  <si>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</si>
  <si>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</si>
  <si>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</si>
  <si>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</si>
  <si>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</si>
  <si>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billion tonne-kilometres</t>
  </si>
  <si>
    <t>EU-28</t>
  </si>
  <si>
    <t>AL</t>
  </si>
  <si>
    <r>
      <t>IS</t>
    </r>
    <r>
      <rPr>
        <b/>
        <vertAlign val="subscript"/>
        <sz val="8"/>
        <rFont val="Arial"/>
        <family val="2"/>
      </rPr>
      <t>(1)</t>
    </r>
  </si>
  <si>
    <t xml:space="preserve">Data are not harmonised and therefore not fully comparable; in most countries, only pipelines longer than 40km are included. Data refers to oil pipelines. </t>
  </si>
  <si>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</si>
  <si>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</si>
  <si>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</si>
  <si>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</si>
  <si>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</si>
  <si>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</si>
  <si>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</si>
  <si>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</si>
  <si>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2000 - 2010`</t>
  </si>
  <si>
    <t>EU-27</t>
  </si>
  <si>
    <t xml:space="preserve">                                                                                                                      </t>
  </si>
  <si>
    <t xml:space="preserve">TOTAL </t>
  </si>
  <si>
    <t>Table 2.2.1 EU-27</t>
  </si>
  <si>
    <r>
      <t xml:space="preserve">Source: </t>
    </r>
    <r>
      <rPr>
        <sz val="8"/>
        <rFont val="Arial"/>
        <family val="2"/>
      </rPr>
      <t>tables 2.2.4c to 2.2.7, estimates (</t>
    </r>
    <r>
      <rPr>
        <i/>
        <sz val="8"/>
        <rFont val="Arial"/>
        <family val="2"/>
      </rPr>
      <t>in italics</t>
    </r>
    <r>
      <rPr>
        <sz val="8"/>
        <rFont val="Arial"/>
        <family val="2"/>
      </rPr>
      <t>)</t>
    </r>
  </si>
  <si>
    <r>
      <t>Road:</t>
    </r>
    <r>
      <rPr>
        <sz val="8"/>
        <rFont val="Arial"/>
        <family val="2"/>
      </rPr>
      <t xml:space="preserve"> national and international haulage by vehicles registered in the EU-27 until 2004, from 2005 onwards the activity performed by European drivers within the EU territory.</t>
    </r>
  </si>
  <si>
    <r>
      <t xml:space="preserve">(1): </t>
    </r>
    <r>
      <rPr>
        <b/>
        <sz val="8"/>
        <rFont val="Arial"/>
        <family val="2"/>
      </rPr>
      <t>TR, IS</t>
    </r>
    <r>
      <rPr>
        <sz val="8"/>
        <rFont val="Arial"/>
        <family val="2"/>
      </rPr>
      <t xml:space="preserve">: national transport only. </t>
    </r>
    <r>
      <rPr>
        <b/>
        <sz val="8"/>
        <rFont val="Arial"/>
        <family val="2"/>
      </rPr>
      <t/>
    </r>
  </si>
  <si>
    <r>
      <t xml:space="preserve">(2):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</si>
  <si>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Performance by mode (graph)</t>
  </si>
  <si>
    <t>Performance by mode and year</t>
  </si>
  <si>
    <t>Modal split of freight transport on land by country</t>
  </si>
  <si>
    <t>Road: National haulage</t>
  </si>
  <si>
    <t>Road: International haulage</t>
  </si>
  <si>
    <t>USA: Performance by mode of transport - Freight</t>
  </si>
  <si>
    <t>EU-27 performance by mode</t>
  </si>
  <si>
    <t>Freight transport</t>
  </si>
  <si>
    <t>Haulage by vehicles registered in the reporting country</t>
  </si>
  <si>
    <t>Road: National and international haulage</t>
  </si>
  <si>
    <t>Road : International haulage (*)</t>
  </si>
  <si>
    <t>Road : National and international haulage (*)</t>
  </si>
  <si>
    <t>Haulage performed within the territory of each country by any vehicle</t>
  </si>
  <si>
    <t>Inland waterways</t>
  </si>
  <si>
    <t>Oil pipelines</t>
  </si>
  <si>
    <t>Performance by mode of transport -  freight</t>
  </si>
  <si>
    <t>Road : National haulage (*)</t>
  </si>
  <si>
    <t xml:space="preserve">NB: </t>
  </si>
  <si>
    <t>NB:</t>
  </si>
  <si>
    <r>
      <t xml:space="preserve">NB: </t>
    </r>
    <r>
      <rPr>
        <sz val="8"/>
        <rFont val="Arial"/>
        <family val="2"/>
      </rPr>
      <t xml:space="preserve">DE: includes former GDR : 1970=41.5,   1980=56.4,   1990=39.8. CS: 1970: 55.9,  1980: 66.2,  1990: 59.4, 1991: 45.8, 1992: 44.0 </t>
    </r>
  </si>
  <si>
    <r>
      <t xml:space="preserve">NB: </t>
    </r>
    <r>
      <rPr>
        <sz val="8"/>
        <rFont val="Arial"/>
        <family val="2"/>
      </rPr>
      <t xml:space="preserve">time series for road transport revised according to the estimates based on the Freight Analysis Framework (FAF). From the break onwards, the source is the Bureau of Transportation Statistics. </t>
    </r>
  </si>
  <si>
    <r>
      <t>Source</t>
    </r>
    <r>
      <rPr>
        <sz val="8"/>
        <rFont val="Arial"/>
        <family val="2"/>
      </rPr>
      <t>:</t>
    </r>
    <r>
      <rPr>
        <b/>
        <sz val="8"/>
        <rFont val="Arial"/>
        <family val="2"/>
      </rPr>
      <t xml:space="preserve">  </t>
    </r>
    <r>
      <rPr>
        <sz val="8"/>
        <rFont val="Arial"/>
        <family val="2"/>
      </rPr>
      <t xml:space="preserve">Eurostat, ITF (CH, RS), estimates </t>
    </r>
    <r>
      <rPr>
        <i/>
        <sz val="8"/>
        <rFont val="Arial"/>
        <family val="2"/>
      </rPr>
      <t>(in italics)</t>
    </r>
  </si>
  <si>
    <r>
      <t>Source</t>
    </r>
    <r>
      <rPr>
        <sz val="8"/>
        <rFont val="Arial"/>
        <family val="2"/>
      </rPr>
      <t>:</t>
    </r>
    <r>
      <rPr>
        <b/>
        <sz val="8"/>
        <rFont val="Arial"/>
        <family val="2"/>
      </rPr>
      <t xml:space="preserve">  </t>
    </r>
    <r>
      <rPr>
        <sz val="8"/>
        <rFont val="Arial"/>
        <family val="2"/>
      </rPr>
      <t>Eurostat,</t>
    </r>
    <r>
      <rPr>
        <b/>
        <sz val="8"/>
        <rFont val="Arial"/>
        <family val="2"/>
      </rPr>
      <t xml:space="preserve"> n</t>
    </r>
    <r>
      <rPr>
        <sz val="8"/>
        <rFont val="Arial"/>
        <family val="2"/>
      </rPr>
      <t xml:space="preserve">ational statistics (DK), International Transport Forum (RO, MK, RS, TR) , estimates </t>
    </r>
    <r>
      <rPr>
        <i/>
        <sz val="8"/>
        <rFont val="Arial"/>
        <family val="2"/>
      </rPr>
      <t>(in italics)</t>
    </r>
  </si>
  <si>
    <r>
      <t>Source</t>
    </r>
    <r>
      <rPr>
        <sz val="8"/>
        <rFont val="Arial"/>
        <family val="2"/>
      </rPr>
      <t>:</t>
    </r>
    <r>
      <rPr>
        <b/>
        <sz val="8"/>
        <rFont val="Arial"/>
        <family val="2"/>
      </rPr>
      <t xml:space="preserve"> </t>
    </r>
    <r>
      <rPr>
        <sz val="8"/>
        <rFont val="Arial"/>
        <family val="2"/>
      </rPr>
      <t xml:space="preserve"> Eurostat  [rail_go_total, rail_go_quartal], International Transport Forum (AL, RS); estimates </t>
    </r>
    <r>
      <rPr>
        <i/>
        <sz val="8"/>
        <rFont val="Arial"/>
        <family val="2"/>
      </rPr>
      <t>(in italics)</t>
    </r>
  </si>
  <si>
    <r>
      <t xml:space="preserve">EU aggregates do not include road freight transport for Malta (negligible, exempted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</si>
  <si>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t>2020</t>
  </si>
  <si>
    <t>change 19/20</t>
  </si>
  <si>
    <r>
      <t>Source</t>
    </r>
    <r>
      <rPr>
        <sz val="8"/>
        <rFont val="Arial"/>
        <family val="2"/>
      </rPr>
      <t>: Eurostat, International Transport Forum, national statistics (MK), estimates</t>
    </r>
    <r>
      <rPr>
        <i/>
        <sz val="8"/>
        <rFont val="Arial"/>
        <family val="2"/>
      </rPr>
      <t xml:space="preserve"> (in italics), UNECE (ME)</t>
    </r>
  </si>
  <si>
    <r>
      <t>Source</t>
    </r>
    <r>
      <rPr>
        <sz val="8"/>
        <rFont val="Arial"/>
        <family val="2"/>
      </rPr>
      <t>: Eurostat  [road_tert_go]</t>
    </r>
  </si>
  <si>
    <r>
      <t>Source</t>
    </r>
    <r>
      <rPr>
        <sz val="8"/>
        <rFont val="Arial"/>
        <family val="2"/>
      </rPr>
      <t>: Eurostat [road_go_ta_tott]; International Transport Forum (IS, TR), national statistics (CH - until 2007, MK), estimates</t>
    </r>
    <r>
      <rPr>
        <i/>
        <sz val="8"/>
        <rFont val="Arial"/>
        <family val="2"/>
      </rPr>
      <t xml:space="preserve"> (in italics). </t>
    </r>
    <r>
      <rPr>
        <b/>
        <sz val="8"/>
        <rFont val="Arial"/>
        <family val="2"/>
      </rPr>
      <t/>
    </r>
  </si>
  <si>
    <r>
      <t>Source</t>
    </r>
    <r>
      <rPr>
        <sz val="8"/>
        <rFont val="Arial"/>
        <family val="2"/>
      </rPr>
      <t xml:space="preserve">: Eurostat, International Transport </t>
    </r>
    <r>
      <rPr>
        <sz val="8"/>
        <color theme="1"/>
        <rFont val="Arial"/>
        <family val="2"/>
      </rPr>
      <t>Forum (IS, RS, TR), national statistics (MK),</t>
    </r>
    <r>
      <rPr>
        <sz val="8"/>
        <rFont val="Arial"/>
        <family val="2"/>
      </rPr>
      <t xml:space="preserve"> estimates</t>
    </r>
    <r>
      <rPr>
        <i/>
        <sz val="8"/>
        <color theme="1"/>
        <rFont val="Arial"/>
        <family val="2"/>
      </rPr>
      <t xml:space="preserve"> (in italics). </t>
    </r>
    <r>
      <rPr>
        <b/>
        <sz val="8"/>
        <rFont val="Arial"/>
        <family val="2"/>
      </rPr>
      <t/>
    </r>
  </si>
  <si>
    <t>2011-2020</t>
  </si>
  <si>
    <t>1995 -2020</t>
  </si>
  <si>
    <t>2000 -2020</t>
  </si>
  <si>
    <t>2019-2020</t>
  </si>
  <si>
    <r>
      <rPr>
        <b/>
        <sz val="8"/>
        <rFont val="Arial"/>
        <family val="2"/>
      </rPr>
      <t xml:space="preserve">BE: </t>
    </r>
    <r>
      <rPr>
        <sz val="8"/>
        <rFont val="Arial"/>
        <family val="2"/>
      </rPr>
      <t>data from UIC, therefore it refers only to companies members of UIC.</t>
    </r>
  </si>
  <si>
    <r>
      <t>Air</t>
    </r>
    <r>
      <rPr>
        <sz val="8"/>
        <rFont val="Arial"/>
        <family val="2"/>
      </rPr>
      <t xml:space="preserve"> and</t>
    </r>
    <r>
      <rPr>
        <b/>
        <sz val="8"/>
        <rFont val="Arial"/>
        <family val="2"/>
      </rPr>
      <t xml:space="preserve"> Sea:</t>
    </r>
    <r>
      <rPr>
        <sz val="8"/>
        <rFont val="Arial"/>
        <family val="2"/>
      </rPr>
      <t xml:space="preserve"> only domestic and intra-EU-27 transport; estimates for air and for sea based on Eurostat data. The time series for maritime activity from 1995 to 2004 and for aviation activity from 1995 to 2007 have been recalibrated by DG MOVE in line with the new EU-27 figures to avoid break in series. Following methodological changes, the times series (2005-2020) for maritime and air activity were backwards revised.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</si>
</sst>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0.0"/>
    <numFmt numFmtId="165" formatCode="0.0\ \ \ "/>
    <numFmt numFmtId="166" formatCode="0.0\ \ "/>
    <numFmt numFmtId="167" formatCode="0.0%;\-0.0%"/>
    <numFmt numFmtId="168" formatCode="###0.00_)"/>
    <numFmt numFmtId="169" formatCode="0.000"/>
    <numFmt numFmtId="170" formatCode="#\ ##0.0"/>
    <numFmt numFmtId="171" formatCode="#,##0_)"/>
    <numFmt numFmtId="172" formatCode="####################\ ##0.0"/>
    <numFmt numFmtId="173" formatCode="#,##0.0_i"/>
    <numFmt numFmtId="174" formatCode="_-* #,##0.00\ _€_-;\-* #,##0.00\ _€_-;_-* &quot;-&quot;??\ _€_-;_-@_-"/>
  </numFmts>
  <fonts count="70" x14ac:knownFonts="1">
    <font>
      <sz val="10"/>
      <name val="Arial"/>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10"/>
      <name val="Arial"/>
      <family val="2"/>
    </font>
    <font>
      <b/>
      <sz val="12"/>
      <name val="Arial"/>
      <family val="2"/>
    </font>
    <font>
      <b/>
      <sz val="8"/>
      <name val="Helvetica"/>
      <family val="2"/>
    </font>
    <font>
      <sz val="10"/>
      <name val="Helvetica"/>
      <family val="2"/>
    </font>
    <font>
      <sz val="12"/>
      <name val="Arial"/>
      <family val="2"/>
    </font>
    <font>
      <sz val="8"/>
      <name val="Helvetica"/>
      <family val="2"/>
    </font>
    <font>
      <b/>
      <sz val="10"/>
      <name val="Times"/>
      <family val="1"/>
    </font>
    <font>
      <b/>
      <sz val="7"/>
      <name val="Arial"/>
      <family val="2"/>
    </font>
    <font>
      <b/>
      <vertAlign val="subscript"/>
      <sz val="8"/>
      <name val="Arial"/>
      <family val="2"/>
    </font>
    <font>
      <b/>
      <sz val="8"/>
      <color indexed="9"/>
      <name val="Arial"/>
      <family val="2"/>
    </font>
    <font>
      <sz val="11"/>
      <name val="Arial"/>
      <family val="2"/>
    </font>
    <font>
      <b/>
      <sz val="14"/>
      <name val="Helv"/>
    </font>
    <font>
      <b/>
      <sz val="10"/>
      <name val="Helv"/>
    </font>
    <font>
      <sz val="10"/>
      <name val="Helv"/>
    </font>
    <font>
      <sz val="10"/>
      <name val="Arial"/>
      <family val="2"/>
    </font>
    <font>
      <sz val="12"/>
      <name val="Helv"/>
    </font>
    <font>
      <b/>
      <sz val="12"/>
      <name val="Helv"/>
    </font>
    <font>
      <sz val="9"/>
      <name val="Helv"/>
    </font>
    <font>
      <vertAlign val="superscript"/>
      <sz val="12"/>
      <name val="Helv"/>
    </font>
    <font>
      <b/>
      <sz val="9"/>
      <name val="Helv"/>
    </font>
    <font>
      <sz val="8.5"/>
      <name val="Helv"/>
    </font>
    <font>
      <sz val="8"/>
      <name val="Helv"/>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9"/>
      <color theme="1"/>
      <name val="Arial"/>
      <family val="2"/>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u/>
      <sz val="11"/>
      <color theme="10"/>
      <name val="Calibri"/>
      <family val="2"/>
      <scheme val="minor"/>
    </font>
    <font>
      <i/>
      <sz val="8"/>
      <color theme="1"/>
      <name val="Arial"/>
      <family val="2"/>
    </font>
    <font>
      <sz val="8"/>
      <color theme="1"/>
      <name val="Arial"/>
      <family val="2"/>
    </font>
    <font>
      <sz val="10"/>
      <color theme="7" tint="-0.249977111117893"/>
      <name val="Arial"/>
      <family val="2"/>
    </font>
    <font>
      <sz val="10"/>
      <color theme="9" tint="-0.249977111117893"/>
      <name val="Arial"/>
      <family val="2"/>
    </font>
    <font>
      <sz val="8"/>
      <color rgb="FF7030A0"/>
      <name val="Arial"/>
      <family val="2"/>
    </font>
  </fonts>
  <fills count="43">
    <fill>
      <patternFill patternType="none"/>
    </fill>
    <fill>
      <patternFill patternType="gray125"/>
    </fill>
    <fill>
      <patternFill patternType="solid">
        <fgColor indexed="22"/>
        <bgColor indexed="9"/>
      </patternFill>
    </fill>
    <fill>
      <patternFill patternType="solid">
        <fgColor indexed="22"/>
        <bgColor indexed="55"/>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FFCC"/>
        <bgColor indexed="64"/>
      </patternFill>
    </fill>
  </fills>
  <borders count="52">
    <border>
      <left/>
      <right/>
      <top/>
      <bottom/>
      <diagonal/>
    </border>
    <border>
      <left/>
      <right/>
      <top/>
      <bottom style="thin">
        <color indexed="22"/>
      </bottom>
      <diagonal/>
    </border>
    <border>
      <left/>
      <right/>
      <top/>
      <bottom style="hair">
        <color indexed="64"/>
      </bottom>
      <diagonal/>
    </border>
    <border>
      <left/>
      <right/>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ck">
        <color indexed="64"/>
      </right>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diagonal/>
    </border>
    <border>
      <left style="thick">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style="thin">
        <color indexed="64"/>
      </top>
      <bottom/>
      <diagonal/>
    </border>
    <border>
      <left style="thick">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ck">
        <color indexed="64"/>
      </top>
      <bottom/>
      <diagonal/>
    </border>
  </borders>
  <cellStyleXfs count="124">
    <xf numFmtId="0" fontId="0" fillId="0" borderId="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7" fillId="34" borderId="0" applyNumberFormat="0" applyBorder="0" applyAlignment="0" applyProtection="0"/>
    <xf numFmtId="0" fontId="48" fillId="35" borderId="42" applyNumberFormat="0" applyAlignment="0" applyProtection="0"/>
    <xf numFmtId="0" fontId="49" fillId="36" borderId="43" applyNumberFormat="0" applyAlignment="0" applyProtection="0"/>
    <xf numFmtId="0" fontId="38" fillId="0" borderId="0">
      <alignment horizontal="center" vertical="center" wrapText="1"/>
    </xf>
    <xf numFmtId="43" fontId="37" fillId="0" borderId="0" applyFont="0" applyFill="0" applyBorder="0" applyAlignment="0" applyProtection="0"/>
    <xf numFmtId="0" fontId="39" fillId="0" borderId="0">
      <alignment horizontal="left" vertical="center" wrapText="1"/>
    </xf>
    <xf numFmtId="168" fontId="36" fillId="0" borderId="1" applyNumberFormat="0" applyFill="0">
      <alignment horizontal="right"/>
    </xf>
    <xf numFmtId="171" fontId="40" fillId="0" borderId="1">
      <alignment horizontal="right" vertical="center"/>
    </xf>
    <xf numFmtId="49" fontId="41" fillId="0" borderId="1">
      <alignment horizontal="left" vertical="center"/>
    </xf>
    <xf numFmtId="168" fontId="36" fillId="0" borderId="1" applyNumberFormat="0" applyFill="0">
      <alignment horizontal="right"/>
    </xf>
    <xf numFmtId="0" fontId="50" fillId="0" borderId="0" applyNumberFormat="0" applyFill="0" applyBorder="0" applyAlignment="0" applyProtection="0"/>
    <xf numFmtId="0" fontId="51" fillId="37" borderId="0" applyNumberFormat="0" applyBorder="0" applyAlignment="0" applyProtection="0"/>
    <xf numFmtId="0" fontId="52" fillId="0" borderId="44" applyNumberFormat="0" applyFill="0" applyAlignment="0" applyProtection="0"/>
    <xf numFmtId="0" fontId="53" fillId="0" borderId="45" applyNumberFormat="0" applyFill="0" applyAlignment="0" applyProtection="0"/>
    <xf numFmtId="0" fontId="54" fillId="0" borderId="46" applyNumberFormat="0" applyFill="0" applyAlignment="0" applyProtection="0"/>
    <xf numFmtId="0" fontId="54" fillId="0" borderId="0" applyNumberFormat="0" applyFill="0" applyBorder="0" applyAlignment="0" applyProtection="0"/>
    <xf numFmtId="0" fontId="35" fillId="0" borderId="1">
      <alignment horizontal="left"/>
    </xf>
    <xf numFmtId="0" fontId="42" fillId="0" borderId="2">
      <alignment horizontal="right" vertical="center"/>
    </xf>
    <xf numFmtId="0" fontId="43" fillId="0" borderId="1">
      <alignment horizontal="left" vertical="center"/>
    </xf>
    <xf numFmtId="0" fontId="36" fillId="0" borderId="1">
      <alignment horizontal="left" vertical="center"/>
    </xf>
    <xf numFmtId="0" fontId="35" fillId="0" borderId="1">
      <alignment horizontal="left"/>
    </xf>
    <xf numFmtId="0" fontId="35" fillId="2" borderId="0">
      <alignment horizontal="centerContinuous" wrapText="1"/>
    </xf>
    <xf numFmtId="49" fontId="35" fillId="2" borderId="3">
      <alignment horizontal="left" vertical="center"/>
    </xf>
    <xf numFmtId="0" fontId="35" fillId="2" borderId="0">
      <alignment horizontal="centerContinuous" vertical="center" wrapText="1"/>
    </xf>
    <xf numFmtId="0" fontId="55" fillId="38" borderId="42" applyNumberFormat="0" applyAlignment="0" applyProtection="0"/>
    <xf numFmtId="0" fontId="56" fillId="0" borderId="47" applyNumberFormat="0" applyFill="0" applyAlignment="0" applyProtection="0"/>
    <xf numFmtId="0" fontId="57" fillId="39" borderId="0" applyNumberFormat="0" applyBorder="0" applyAlignment="0" applyProtection="0"/>
    <xf numFmtId="0" fontId="33" fillId="0" borderId="0"/>
    <xf numFmtId="0" fontId="33" fillId="0" borderId="0"/>
    <xf numFmtId="0" fontId="33" fillId="0" borderId="0"/>
    <xf numFmtId="0" fontId="33" fillId="0" borderId="0"/>
    <xf numFmtId="0" fontId="2" fillId="0" borderId="0"/>
    <xf numFmtId="0" fontId="45" fillId="0" borderId="0"/>
    <xf numFmtId="0" fontId="45" fillId="40" borderId="48" applyNumberFormat="0" applyFont="0" applyAlignment="0" applyProtection="0"/>
    <xf numFmtId="0" fontId="45" fillId="40" borderId="48" applyNumberFormat="0" applyFont="0" applyAlignment="0" applyProtection="0"/>
    <xf numFmtId="0" fontId="45" fillId="40" borderId="48" applyNumberFormat="0" applyFont="0" applyAlignment="0" applyProtection="0"/>
    <xf numFmtId="173" fontId="58" fillId="0" borderId="0" applyFill="0" applyBorder="0" applyProtection="0">
      <alignment horizontal="right"/>
    </xf>
    <xf numFmtId="0" fontId="59" fillId="35" borderId="49" applyNumberFormat="0" applyAlignment="0" applyProtection="0"/>
    <xf numFmtId="3" fontId="40" fillId="0" borderId="0">
      <alignment horizontal="left" vertical="center"/>
    </xf>
    <xf numFmtId="0" fontId="38" fillId="0" borderId="0">
      <alignment horizontal="left" vertical="center"/>
    </xf>
    <xf numFmtId="0" fontId="44" fillId="0" borderId="0">
      <alignment horizontal="right"/>
    </xf>
    <xf numFmtId="49" fontId="44" fillId="0" borderId="0">
      <alignment horizontal="center"/>
    </xf>
    <xf numFmtId="0" fontId="41" fillId="0" borderId="0">
      <alignment horizontal="right"/>
    </xf>
    <xf numFmtId="0" fontId="44" fillId="0" borderId="0">
      <alignment horizontal="left"/>
    </xf>
    <xf numFmtId="0" fontId="7" fillId="0" borderId="0"/>
    <xf numFmtId="49" fontId="40" fillId="0" borderId="0">
      <alignment horizontal="left" vertical="center"/>
    </xf>
    <xf numFmtId="49" fontId="41" fillId="0" borderId="1">
      <alignment horizontal="left"/>
    </xf>
    <xf numFmtId="168" fontId="40" fillId="0" borderId="0" applyNumberFormat="0">
      <alignment horizontal="right"/>
    </xf>
    <xf numFmtId="0" fontId="42" fillId="3" borderId="0">
      <alignment horizontal="centerContinuous" vertical="center" wrapText="1"/>
    </xf>
    <xf numFmtId="0" fontId="42" fillId="0" borderId="4">
      <alignment horizontal="left" vertical="center"/>
    </xf>
    <xf numFmtId="0" fontId="34" fillId="0" borderId="0">
      <alignment horizontal="left" vertical="top"/>
    </xf>
    <xf numFmtId="0" fontId="60" fillId="0" borderId="0" applyNumberFormat="0" applyFill="0" applyBorder="0" applyAlignment="0" applyProtection="0"/>
    <xf numFmtId="0" fontId="61" fillId="0" borderId="0" applyNumberFormat="0" applyFill="0" applyBorder="0" applyAlignment="0" applyProtection="0"/>
    <xf numFmtId="0" fontId="35" fillId="0" borderId="0">
      <alignment horizontal="left"/>
    </xf>
    <xf numFmtId="0" fontId="39" fillId="0" borderId="0">
      <alignment horizontal="left"/>
    </xf>
    <xf numFmtId="0" fontId="36" fillId="0" borderId="0">
      <alignment horizontal="left"/>
    </xf>
    <xf numFmtId="0" fontId="34" fillId="0" borderId="0">
      <alignment horizontal="left" vertical="top"/>
    </xf>
    <xf numFmtId="0" fontId="39" fillId="0" borderId="0">
      <alignment horizontal="left"/>
    </xf>
    <xf numFmtId="0" fontId="36" fillId="0" borderId="0">
      <alignment horizontal="left"/>
    </xf>
    <xf numFmtId="0" fontId="21" fillId="4" borderId="0" applyNumberFormat="0" applyBorder="0">
      <protection locked="0"/>
    </xf>
    <xf numFmtId="0" fontId="62" fillId="0" borderId="50" applyNumberFormat="0" applyFill="0" applyAlignment="0" applyProtection="0"/>
    <xf numFmtId="0" fontId="22" fillId="5" borderId="0" applyNumberFormat="0" applyBorder="0">
      <protection locked="0"/>
    </xf>
    <xf numFmtId="0" fontId="63" fillId="0" borderId="0" applyNumberFormat="0" applyFill="0" applyBorder="0" applyAlignment="0" applyProtection="0"/>
    <xf numFmtId="49" fontId="40" fillId="0" borderId="1">
      <alignment horizontal="left"/>
    </xf>
    <xf numFmtId="0" fontId="42" fillId="0" borderId="2">
      <alignment horizontal="left"/>
    </xf>
    <xf numFmtId="0" fontId="35" fillId="0" borderId="0">
      <alignment horizontal="left" vertical="center"/>
    </xf>
    <xf numFmtId="49" fontId="44" fillId="0" borderId="1">
      <alignment horizontal="left"/>
    </xf>
    <xf numFmtId="0" fontId="2" fillId="0" borderId="0"/>
    <xf numFmtId="0" fontId="1" fillId="0" borderId="0"/>
    <xf numFmtId="9" fontId="1" fillId="0" borderId="0" applyFont="0" applyFill="0" applyBorder="0" applyAlignment="0" applyProtection="0"/>
    <xf numFmtId="0" fontId="64" fillId="0" borderId="0" applyNumberFormat="0" applyFill="0" applyBorder="0" applyAlignment="0" applyProtection="0"/>
    <xf numFmtId="0" fontId="2" fillId="0" borderId="0"/>
    <xf numFmtId="174" fontId="2" fillId="0" borderId="0" applyFont="0" applyFill="0" applyBorder="0" applyAlignment="0" applyProtection="0"/>
    <xf numFmtId="0" fontId="1" fillId="0" borderId="0"/>
    <xf numFmtId="0" fontId="1" fillId="0" borderId="0"/>
  </cellStyleXfs>
  <cellXfs count="610">
    <xf numFmtId="0" fontId="0" fillId="0" borderId="0" xfId="0"/>
    <xf numFmtId="0" fontId="0" fillId="0" borderId="0" xfId="0" applyBorder="1"/>
    <xf numFmtId="0" fontId="5" fillId="0" borderId="0" xfId="0" applyFont="1" applyBorder="1"/>
    <xf numFmtId="0" fontId="5" fillId="0" borderId="0" xfId="0" applyFont="1"/>
    <xf numFmtId="0" fontId="0" fillId="0" borderId="0" xfId="0" applyFill="1" applyBorder="1"/>
    <xf numFmtId="0" fontId="10" fillId="0" borderId="0" xfId="0" applyFont="1"/>
    <xf numFmtId="0" fontId="13" fillId="0" borderId="0" xfId="0" applyFont="1"/>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left"/>
    </xf>
    <xf numFmtId="0" fontId="14" fillId="0" borderId="0" xfId="0" applyFont="1"/>
    <xf numFmtId="0" fontId="9" fillId="0" borderId="0" xfId="0" applyFont="1"/>
    <xf numFmtId="0" fontId="7" fillId="0" borderId="0" xfId="0" applyFont="1"/>
    <xf numFmtId="0" fontId="17" fillId="0" borderId="0" xfId="0" applyFont="1" applyAlignment="1">
      <alignment horizontal="left" vertical="center"/>
    </xf>
    <xf numFmtId="0" fontId="18" fillId="0" borderId="0" xfId="0" applyFont="1"/>
    <xf numFmtId="0" fontId="5" fillId="0" borderId="0" xfId="0" applyFont="1" applyAlignment="1">
      <alignment horizont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8" fillId="0" borderId="0" xfId="0" quotePrefix="1" applyFont="1" applyAlignment="1">
      <alignment horizontal="right" vertical="top"/>
    </xf>
    <xf numFmtId="0" fontId="8" fillId="0" borderId="0" xfId="0" quotePrefix="1" applyFont="1" applyBorder="1" applyAlignment="1">
      <alignment horizontal="right" vertical="top"/>
    </xf>
    <xf numFmtId="0" fontId="7" fillId="0" borderId="0" xfId="0" applyFont="1" applyBorder="1" applyAlignment="1">
      <alignment horizontal="right" vertical="center"/>
    </xf>
    <xf numFmtId="0" fontId="7" fillId="0" borderId="3" xfId="0" applyFont="1" applyBorder="1" applyAlignment="1">
      <alignment horizontal="right" vertical="center"/>
    </xf>
    <xf numFmtId="0" fontId="7" fillId="0" borderId="0" xfId="0" applyFont="1" applyFill="1" applyBorder="1" applyAlignment="1">
      <alignment horizontal="right" vertical="center"/>
    </xf>
    <xf numFmtId="0" fontId="3" fillId="0" borderId="3" xfId="0" applyFont="1" applyBorder="1" applyAlignment="1">
      <alignment horizontal="center" vertical="center"/>
    </xf>
    <xf numFmtId="0" fontId="23" fillId="0" borderId="0" xfId="0" applyFont="1" applyAlignment="1">
      <alignment horizontal="center"/>
    </xf>
    <xf numFmtId="0" fontId="0" fillId="0" borderId="0" xfId="0" applyAlignment="1">
      <alignment vertical="center"/>
    </xf>
    <xf numFmtId="0" fontId="9" fillId="0" borderId="0" xfId="0" applyFont="1" applyBorder="1" applyAlignment="1">
      <alignment horizontal="left" vertical="top" wrapText="1"/>
    </xf>
    <xf numFmtId="0" fontId="9" fillId="0" borderId="0" xfId="0" applyFont="1" applyBorder="1"/>
    <xf numFmtId="0" fontId="0" fillId="0" borderId="0" xfId="0" applyBorder="1" applyAlignment="1">
      <alignment vertical="center"/>
    </xf>
    <xf numFmtId="0" fontId="5" fillId="0" borderId="0" xfId="0" applyFont="1" applyFill="1" applyBorder="1"/>
    <xf numFmtId="0" fontId="12" fillId="0" borderId="0" xfId="0" applyFont="1"/>
    <xf numFmtId="0" fontId="0" fillId="0" borderId="8" xfId="0" applyFill="1" applyBorder="1"/>
    <xf numFmtId="0" fontId="26" fillId="0" borderId="0" xfId="0" applyFont="1" applyAlignment="1">
      <alignment vertical="center"/>
    </xf>
    <xf numFmtId="0" fontId="23" fillId="0" borderId="0" xfId="0" applyFont="1" applyFill="1" applyBorder="1" applyAlignment="1">
      <alignment horizontal="center"/>
    </xf>
    <xf numFmtId="0" fontId="9" fillId="0" borderId="0" xfId="0" applyFont="1" applyFill="1" applyBorder="1" applyAlignment="1">
      <alignment horizontal="center"/>
    </xf>
    <xf numFmtId="0" fontId="13" fillId="0" borderId="0" xfId="0" applyFont="1" applyBorder="1" applyAlignment="1">
      <alignment horizontal="left" vertical="top" wrapText="1"/>
    </xf>
    <xf numFmtId="0" fontId="2" fillId="0" borderId="0" xfId="0" applyFont="1" applyBorder="1" applyAlignment="1">
      <alignment horizontal="left" vertical="top"/>
    </xf>
    <xf numFmtId="0" fontId="27" fillId="0" borderId="0" xfId="0" applyFont="1"/>
    <xf numFmtId="0" fontId="24" fillId="0" borderId="0" xfId="0" quotePrefix="1" applyFont="1" applyBorder="1" applyAlignment="1">
      <alignment horizontal="right" vertical="top"/>
    </xf>
    <xf numFmtId="0" fontId="27" fillId="0" borderId="0" xfId="0" applyFont="1" applyBorder="1" applyAlignment="1">
      <alignment horizontal="left" vertical="top"/>
    </xf>
    <xf numFmtId="0" fontId="24" fillId="0" borderId="0" xfId="0" quotePrefix="1" applyFont="1" applyBorder="1" applyAlignment="1">
      <alignment horizontal="right" vertical="center"/>
    </xf>
    <xf numFmtId="0" fontId="27" fillId="0" borderId="0" xfId="0" applyFont="1" applyBorder="1" applyAlignment="1">
      <alignment vertical="top"/>
    </xf>
    <xf numFmtId="0" fontId="27" fillId="0" borderId="0" xfId="0" applyFont="1" applyAlignment="1">
      <alignment vertical="top" wrapText="1"/>
    </xf>
    <xf numFmtId="0" fontId="7" fillId="0" borderId="3" xfId="0" applyFont="1" applyBorder="1" applyAlignment="1">
      <alignment horizontal="center"/>
    </xf>
    <xf numFmtId="0" fontId="7" fillId="0" borderId="0" xfId="0" applyFont="1" applyBorder="1" applyAlignment="1">
      <alignment horizontal="right"/>
    </xf>
    <xf numFmtId="9" fontId="5" fillId="0" borderId="0" xfId="0" applyNumberFormat="1" applyFont="1" applyAlignment="1">
      <alignment horizontal="center"/>
    </xf>
    <xf numFmtId="0" fontId="5" fillId="0" borderId="0" xfId="0" applyFont="1" applyAlignment="1">
      <alignment vertical="top"/>
    </xf>
    <xf numFmtId="0" fontId="23" fillId="0" borderId="0" xfId="0" applyFont="1" applyBorder="1" applyAlignment="1">
      <alignment horizontal="center" vertical="center" wrapText="1"/>
    </xf>
    <xf numFmtId="9" fontId="5" fillId="0" borderId="0" xfId="0" applyNumberFormat="1" applyFont="1" applyAlignment="1">
      <alignment horizontal="center" vertical="top"/>
    </xf>
    <xf numFmtId="49" fontId="3" fillId="0" borderId="0" xfId="0" applyNumberFormat="1" applyFont="1" applyAlignment="1">
      <alignment horizontal="left" vertical="center"/>
    </xf>
    <xf numFmtId="165" fontId="3" fillId="0" borderId="0" xfId="0" quotePrefix="1" applyNumberFormat="1" applyFont="1" applyAlignment="1">
      <alignment horizontal="left" vertical="center"/>
    </xf>
    <xf numFmtId="0" fontId="29" fillId="0" borderId="0" xfId="0" applyFont="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center" vertical="center"/>
    </xf>
    <xf numFmtId="17" fontId="4" fillId="0" borderId="0" xfId="0" quotePrefix="1" applyNumberFormat="1" applyFont="1" applyBorder="1" applyAlignment="1">
      <alignment horizontal="center" vertical="center" wrapText="1"/>
    </xf>
    <xf numFmtId="0" fontId="9" fillId="6" borderId="6" xfId="0" applyFont="1" applyFill="1" applyBorder="1" applyAlignment="1">
      <alignment horizontal="center" vertical="center"/>
    </xf>
    <xf numFmtId="164" fontId="7" fillId="0" borderId="0" xfId="0" applyNumberFormat="1" applyFont="1" applyFill="1" applyBorder="1" applyAlignment="1">
      <alignment horizontal="right" vertical="center"/>
    </xf>
    <xf numFmtId="164" fontId="7" fillId="0" borderId="3" xfId="0" applyNumberFormat="1" applyFont="1" applyFill="1" applyBorder="1" applyAlignment="1">
      <alignment horizontal="right" vertical="center"/>
    </xf>
    <xf numFmtId="0" fontId="0" fillId="0" borderId="0" xfId="0" applyFill="1"/>
    <xf numFmtId="164" fontId="7" fillId="0" borderId="0" xfId="0" applyNumberFormat="1" applyFont="1" applyFill="1" applyBorder="1" applyAlignment="1">
      <alignment horizontal="center" vertical="center"/>
    </xf>
    <xf numFmtId="0" fontId="24" fillId="0" borderId="0" xfId="0" applyFont="1" applyBorder="1" applyAlignment="1">
      <alignment horizontal="center" vertical="top" wrapText="1"/>
    </xf>
    <xf numFmtId="1" fontId="6" fillId="0" borderId="0" xfId="0" applyNumberFormat="1" applyFont="1" applyFill="1" applyBorder="1" applyAlignment="1">
      <alignment horizontal="center" vertical="center"/>
    </xf>
    <xf numFmtId="0" fontId="9" fillId="0" borderId="0" xfId="0" applyFont="1" applyBorder="1" applyAlignment="1">
      <alignment horizontal="left" wrapText="1"/>
    </xf>
    <xf numFmtId="1" fontId="6" fillId="0" borderId="3" xfId="0" applyNumberFormat="1" applyFont="1" applyFill="1" applyBorder="1" applyAlignment="1">
      <alignment horizontal="center" vertical="center"/>
    </xf>
    <xf numFmtId="0" fontId="12" fillId="0" borderId="0" xfId="0" applyFont="1" applyBorder="1" applyAlignment="1">
      <alignment horizontal="left" vertical="top"/>
    </xf>
    <xf numFmtId="0" fontId="9" fillId="7" borderId="5" xfId="0" applyFont="1" applyFill="1" applyBorder="1" applyAlignment="1">
      <alignment horizontal="center" vertical="top" wrapText="1"/>
    </xf>
    <xf numFmtId="0" fontId="9" fillId="7" borderId="9" xfId="0" applyFont="1" applyFill="1" applyBorder="1" applyAlignment="1">
      <alignment horizontal="center" vertical="top"/>
    </xf>
    <xf numFmtId="0" fontId="5" fillId="7" borderId="7" xfId="0" quotePrefix="1" applyFont="1" applyFill="1" applyBorder="1" applyAlignment="1">
      <alignment horizontal="center" vertical="top" wrapText="1"/>
    </xf>
    <xf numFmtId="0" fontId="9" fillId="7" borderId="7" xfId="0" applyFont="1" applyFill="1" applyBorder="1" applyAlignment="1">
      <alignment horizontal="center" vertical="top"/>
    </xf>
    <xf numFmtId="0" fontId="30" fillId="6" borderId="5" xfId="0" applyFont="1" applyFill="1" applyBorder="1" applyAlignment="1">
      <alignment horizontal="center" vertical="center"/>
    </xf>
    <xf numFmtId="0" fontId="30" fillId="6" borderId="6" xfId="0" applyFont="1" applyFill="1" applyBorder="1" applyAlignment="1">
      <alignment horizontal="center" vertical="center"/>
    </xf>
    <xf numFmtId="0" fontId="9" fillId="0" borderId="0" xfId="0" applyFont="1" applyFill="1" applyBorder="1"/>
    <xf numFmtId="0" fontId="9" fillId="7" borderId="5" xfId="0" applyFont="1" applyFill="1" applyBorder="1" applyAlignment="1">
      <alignment horizontal="center" vertical="top"/>
    </xf>
    <xf numFmtId="0" fontId="9" fillId="7" borderId="10" xfId="0" applyFont="1" applyFill="1" applyBorder="1" applyAlignment="1">
      <alignment horizontal="center" vertical="top"/>
    </xf>
    <xf numFmtId="164" fontId="9" fillId="0" borderId="6" xfId="0" applyNumberFormat="1" applyFont="1" applyFill="1" applyBorder="1" applyAlignment="1">
      <alignment horizontal="center" vertical="center"/>
    </xf>
    <xf numFmtId="0" fontId="30" fillId="6" borderId="6"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9" fillId="7" borderId="9" xfId="0" quotePrefix="1" applyFont="1" applyFill="1" applyBorder="1" applyAlignment="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1" fontId="6" fillId="7" borderId="0" xfId="0" applyNumberFormat="1" applyFont="1" applyFill="1" applyBorder="1" applyAlignment="1">
      <alignment horizontal="center" vertical="center"/>
    </xf>
    <xf numFmtId="1" fontId="6" fillId="7" borderId="3" xfId="0" applyNumberFormat="1" applyFont="1" applyFill="1" applyBorder="1" applyAlignment="1">
      <alignment horizontal="center" vertical="center"/>
    </xf>
    <xf numFmtId="1" fontId="6" fillId="7" borderId="11" xfId="0" applyNumberFormat="1" applyFont="1" applyFill="1" applyBorder="1" applyAlignment="1">
      <alignment horizontal="center"/>
    </xf>
    <xf numFmtId="1" fontId="6" fillId="7" borderId="12" xfId="0" applyNumberFormat="1" applyFont="1" applyFill="1" applyBorder="1" applyAlignment="1">
      <alignment horizontal="center"/>
    </xf>
    <xf numFmtId="1" fontId="6" fillId="7" borderId="13" xfId="0" applyNumberFormat="1" applyFont="1" applyFill="1" applyBorder="1" applyAlignment="1">
      <alignment horizontal="center" vertic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1" fontId="6" fillId="0" borderId="13" xfId="0" applyNumberFormat="1" applyFont="1" applyFill="1" applyBorder="1" applyAlignment="1">
      <alignment horizontal="center" vertical="center"/>
    </xf>
    <xf numFmtId="4" fontId="0" fillId="0" borderId="0" xfId="0" applyNumberFormat="1"/>
    <xf numFmtId="0" fontId="7" fillId="0" borderId="0" xfId="0" applyFont="1" applyAlignment="1">
      <alignment vertical="top"/>
    </xf>
    <xf numFmtId="0" fontId="9" fillId="0" borderId="0" xfId="0" applyFont="1" applyAlignment="1">
      <alignment vertical="top"/>
    </xf>
    <xf numFmtId="164" fontId="7" fillId="0" borderId="12" xfId="0" applyNumberFormat="1" applyFont="1" applyFill="1" applyBorder="1" applyAlignment="1">
      <alignment horizontal="center" vertical="center"/>
    </xf>
    <xf numFmtId="2" fontId="7" fillId="0" borderId="6" xfId="0" applyNumberFormat="1" applyFont="1" applyFill="1" applyBorder="1" applyAlignment="1">
      <alignment horizontal="right" vertical="center"/>
    </xf>
    <xf numFmtId="2" fontId="7" fillId="0" borderId="6" xfId="0" applyNumberFormat="1" applyFont="1" applyBorder="1" applyAlignment="1">
      <alignment horizontal="right" vertical="center"/>
    </xf>
    <xf numFmtId="2" fontId="7" fillId="0" borderId="7" xfId="0" applyNumberFormat="1" applyFont="1" applyFill="1" applyBorder="1" applyAlignment="1">
      <alignment horizontal="right" vertical="center"/>
    </xf>
    <xf numFmtId="2" fontId="7" fillId="6" borderId="14" xfId="0" applyNumberFormat="1" applyFont="1" applyFill="1" applyBorder="1" applyAlignment="1">
      <alignment horizontal="right" vertical="center"/>
    </xf>
    <xf numFmtId="0" fontId="30" fillId="7" borderId="5" xfId="0" applyFont="1" applyFill="1" applyBorder="1" applyAlignment="1">
      <alignment horizontal="center" wrapText="1"/>
    </xf>
    <xf numFmtId="0" fontId="9" fillId="7" borderId="6" xfId="0" applyFont="1" applyFill="1" applyBorder="1" applyAlignment="1">
      <alignment horizontal="center" vertical="top"/>
    </xf>
    <xf numFmtId="2" fontId="7" fillId="6" borderId="6" xfId="0" applyNumberFormat="1" applyFont="1" applyFill="1" applyBorder="1" applyAlignment="1">
      <alignment horizontal="right" vertical="center"/>
    </xf>
    <xf numFmtId="1" fontId="6" fillId="7" borderId="5" xfId="0" applyNumberFormat="1" applyFont="1" applyFill="1" applyBorder="1" applyAlignment="1">
      <alignment horizontal="center"/>
    </xf>
    <xf numFmtId="1" fontId="6" fillId="7" borderId="7" xfId="0" applyNumberFormat="1" applyFont="1" applyFill="1" applyBorder="1" applyAlignment="1">
      <alignment horizontal="center" vertical="center"/>
    </xf>
    <xf numFmtId="1" fontId="6" fillId="7" borderId="6" xfId="0" applyNumberFormat="1" applyFont="1" applyFill="1" applyBorder="1" applyAlignment="1">
      <alignment horizontal="center" vertical="center"/>
    </xf>
    <xf numFmtId="164" fontId="19" fillId="0" borderId="9" xfId="0" applyNumberFormat="1" applyFont="1" applyFill="1" applyBorder="1" applyAlignment="1">
      <alignment horizontal="right" vertical="center"/>
    </xf>
    <xf numFmtId="164" fontId="19" fillId="0" borderId="8" xfId="0" applyNumberFormat="1" applyFont="1" applyFill="1" applyBorder="1" applyAlignment="1">
      <alignment horizontal="right" vertical="center"/>
    </xf>
    <xf numFmtId="164" fontId="19" fillId="0" borderId="10" xfId="0" applyNumberFormat="1" applyFont="1" applyFill="1" applyBorder="1" applyAlignment="1">
      <alignment horizontal="right" vertical="center"/>
    </xf>
    <xf numFmtId="167" fontId="28" fillId="0" borderId="0" xfId="0" applyNumberFormat="1" applyFont="1" applyFill="1" applyBorder="1" applyAlignment="1">
      <alignment horizontal="right" vertical="center"/>
    </xf>
    <xf numFmtId="167" fontId="28" fillId="0" borderId="13" xfId="0" applyNumberFormat="1" applyFont="1" applyFill="1" applyBorder="1" applyAlignment="1">
      <alignment horizontal="right" vertical="center"/>
    </xf>
    <xf numFmtId="167" fontId="28" fillId="0" borderId="11" xfId="0" applyNumberFormat="1" applyFont="1" applyFill="1" applyBorder="1" applyAlignment="1">
      <alignment horizontal="right" vertical="center"/>
    </xf>
    <xf numFmtId="0" fontId="9" fillId="6" borderId="11"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5" xfId="0" applyFont="1" applyFill="1" applyBorder="1" applyAlignment="1">
      <alignment horizontal="center" vertical="center"/>
    </xf>
    <xf numFmtId="164" fontId="7" fillId="0" borderId="15" xfId="0" applyNumberFormat="1" applyFont="1" applyFill="1" applyBorder="1" applyAlignment="1">
      <alignment horizontal="right" vertical="center"/>
    </xf>
    <xf numFmtId="164" fontId="7" fillId="0" borderId="13" xfId="0" applyNumberFormat="1" applyFont="1" applyFill="1" applyBorder="1" applyAlignment="1">
      <alignment horizontal="right" vertical="center"/>
    </xf>
    <xf numFmtId="0" fontId="30" fillId="6" borderId="6" xfId="0" applyFont="1" applyFill="1" applyBorder="1" applyAlignment="1">
      <alignment horizontal="center"/>
    </xf>
    <xf numFmtId="0" fontId="30" fillId="6" borderId="5" xfId="0" applyFont="1" applyFill="1" applyBorder="1" applyAlignment="1">
      <alignment horizontal="center"/>
    </xf>
    <xf numFmtId="0" fontId="30" fillId="6" borderId="16" xfId="0" applyFont="1" applyFill="1" applyBorder="1" applyAlignment="1">
      <alignment horizontal="center"/>
    </xf>
    <xf numFmtId="0" fontId="5" fillId="7" borderId="6" xfId="0" quotePrefix="1" applyFont="1" applyFill="1" applyBorder="1" applyAlignment="1">
      <alignment horizontal="center" vertical="top" wrapText="1"/>
    </xf>
    <xf numFmtId="0" fontId="9" fillId="7" borderId="8" xfId="0" applyFont="1" applyFill="1" applyBorder="1" applyAlignment="1">
      <alignment horizontal="center" vertical="top"/>
    </xf>
    <xf numFmtId="164" fontId="9" fillId="0" borderId="5" xfId="0" applyNumberFormat="1" applyFont="1" applyFill="1" applyBorder="1" applyAlignment="1">
      <alignment horizontal="center" vertical="center"/>
    </xf>
    <xf numFmtId="0" fontId="30" fillId="6" borderId="17" xfId="0" applyFont="1" applyFill="1" applyBorder="1" applyAlignment="1">
      <alignment horizontal="center"/>
    </xf>
    <xf numFmtId="0" fontId="5" fillId="0" borderId="0" xfId="0" applyFont="1" applyAlignment="1"/>
    <xf numFmtId="0" fontId="9" fillId="0" borderId="0" xfId="0" applyFont="1" applyAlignment="1">
      <alignment horizontal="left" vertical="top"/>
    </xf>
    <xf numFmtId="0" fontId="9" fillId="0" borderId="0" xfId="0" applyNumberFormat="1" applyFont="1" applyAlignment="1">
      <alignment vertical="top"/>
    </xf>
    <xf numFmtId="0" fontId="5" fillId="0" borderId="0" xfId="0" applyNumberFormat="1" applyFont="1" applyAlignment="1">
      <alignment vertical="top"/>
    </xf>
    <xf numFmtId="0" fontId="9" fillId="0" borderId="0" xfId="0" applyNumberFormat="1" applyFont="1" applyBorder="1" applyAlignment="1">
      <alignment horizontal="left" vertical="top"/>
    </xf>
    <xf numFmtId="0" fontId="9" fillId="0" borderId="18" xfId="0" applyFont="1" applyFill="1" applyBorder="1" applyAlignment="1">
      <alignment horizontal="left" vertical="top" wrapText="1"/>
    </xf>
    <xf numFmtId="0" fontId="6" fillId="0" borderId="0" xfId="0" applyFont="1"/>
    <xf numFmtId="167" fontId="25" fillId="0" borderId="0" xfId="0" applyNumberFormat="1" applyFont="1" applyFill="1" applyBorder="1" applyAlignment="1">
      <alignment horizontal="right" vertical="center"/>
    </xf>
    <xf numFmtId="0" fontId="9" fillId="0" borderId="0" xfId="0" applyFont="1" applyBorder="1" applyAlignment="1">
      <alignment wrapText="1"/>
    </xf>
    <xf numFmtId="0" fontId="0" fillId="0" borderId="10" xfId="0" applyFill="1" applyBorder="1"/>
    <xf numFmtId="0" fontId="7" fillId="0" borderId="0" xfId="0" quotePrefix="1" applyFont="1" applyFill="1" applyBorder="1" applyAlignment="1">
      <alignment vertical="top" wrapText="1"/>
    </xf>
    <xf numFmtId="1" fontId="32" fillId="8" borderId="12" xfId="0" applyNumberFormat="1" applyFont="1" applyFill="1" applyBorder="1" applyAlignment="1">
      <alignment horizontal="center" vertical="center"/>
    </xf>
    <xf numFmtId="0" fontId="24" fillId="0" borderId="0" xfId="0" applyFont="1" applyBorder="1" applyAlignment="1">
      <alignment vertical="top" wrapText="1"/>
    </xf>
    <xf numFmtId="0" fontId="23" fillId="0" borderId="0" xfId="0" applyFont="1" applyBorder="1" applyAlignment="1">
      <alignment vertical="center" wrapText="1"/>
    </xf>
    <xf numFmtId="1" fontId="6" fillId="9" borderId="5" xfId="0" applyNumberFormat="1" applyFont="1" applyFill="1" applyBorder="1" applyAlignment="1">
      <alignment horizontal="center" vertical="center"/>
    </xf>
    <xf numFmtId="0" fontId="7" fillId="0" borderId="0" xfId="0" quotePrefix="1" applyFont="1" applyFill="1" applyBorder="1" applyAlignment="1">
      <alignment horizontal="left" vertical="top" wrapText="1"/>
    </xf>
    <xf numFmtId="1" fontId="6" fillId="7" borderId="9" xfId="0" applyNumberFormat="1" applyFont="1" applyFill="1" applyBorder="1" applyAlignment="1">
      <alignment horizontal="center"/>
    </xf>
    <xf numFmtId="1" fontId="6" fillId="7" borderId="10" xfId="0" applyNumberFormat="1" applyFont="1" applyFill="1" applyBorder="1" applyAlignment="1">
      <alignment horizontal="center" vertical="center"/>
    </xf>
    <xf numFmtId="164" fontId="19" fillId="0" borderId="0" xfId="0" applyNumberFormat="1" applyFont="1" applyFill="1" applyBorder="1" applyAlignment="1">
      <alignment horizontal="right" vertical="center"/>
    </xf>
    <xf numFmtId="0" fontId="30" fillId="6" borderId="11" xfId="0" applyFont="1" applyFill="1" applyBorder="1" applyAlignment="1">
      <alignment horizontal="center" vertical="center" wrapText="1"/>
    </xf>
    <xf numFmtId="0" fontId="30" fillId="6" borderId="18" xfId="0" applyFont="1" applyFill="1" applyBorder="1" applyAlignment="1">
      <alignment horizontal="center" vertical="center" wrapText="1"/>
    </xf>
    <xf numFmtId="164" fontId="19" fillId="0" borderId="12" xfId="0" applyNumberFormat="1" applyFont="1" applyFill="1" applyBorder="1" applyAlignment="1">
      <alignment horizontal="right" vertical="center"/>
    </xf>
    <xf numFmtId="164" fontId="19" fillId="0" borderId="15" xfId="0" applyNumberFormat="1" applyFont="1" applyFill="1" applyBorder="1" applyAlignment="1">
      <alignment horizontal="right" vertical="center"/>
    </xf>
    <xf numFmtId="164" fontId="19" fillId="0" borderId="3" xfId="0" applyNumberFormat="1" applyFont="1" applyFill="1" applyBorder="1" applyAlignment="1">
      <alignment horizontal="right" vertical="center"/>
    </xf>
    <xf numFmtId="164" fontId="5" fillId="0" borderId="15"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7" fillId="0" borderId="14" xfId="0" applyNumberFormat="1" applyFont="1" applyFill="1" applyBorder="1" applyAlignment="1">
      <alignment horizontal="right" vertical="center"/>
    </xf>
    <xf numFmtId="164" fontId="7" fillId="6" borderId="15" xfId="0" applyNumberFormat="1" applyFont="1" applyFill="1" applyBorder="1" applyAlignment="1">
      <alignment horizontal="right" vertical="center"/>
    </xf>
    <xf numFmtId="164" fontId="7" fillId="6" borderId="0" xfId="0" applyNumberFormat="1" applyFont="1" applyFill="1" applyBorder="1" applyAlignment="1">
      <alignment horizontal="right" vertical="center"/>
    </xf>
    <xf numFmtId="164" fontId="7" fillId="6" borderId="8" xfId="0" applyNumberFormat="1" applyFont="1" applyFill="1" applyBorder="1" applyAlignment="1">
      <alignment horizontal="right" vertical="center"/>
    </xf>
    <xf numFmtId="164" fontId="5" fillId="0" borderId="15" xfId="0" applyNumberFormat="1" applyFont="1" applyFill="1" applyBorder="1" applyAlignment="1">
      <alignment horizontal="right" vertical="center"/>
    </xf>
    <xf numFmtId="164" fontId="5" fillId="0" borderId="0" xfId="0" applyNumberFormat="1" applyFont="1" applyFill="1" applyBorder="1" applyAlignment="1">
      <alignment horizontal="right" vertical="center"/>
    </xf>
    <xf numFmtId="164" fontId="5" fillId="6" borderId="15" xfId="0" applyNumberFormat="1" applyFont="1" applyFill="1" applyBorder="1" applyAlignment="1">
      <alignment horizontal="right" vertical="center"/>
    </xf>
    <xf numFmtId="164" fontId="5" fillId="6" borderId="0" xfId="0" applyNumberFormat="1" applyFont="1" applyFill="1" applyBorder="1" applyAlignment="1">
      <alignment horizontal="right" vertical="center"/>
    </xf>
    <xf numFmtId="164" fontId="7" fillId="6" borderId="14" xfId="0" applyNumberFormat="1" applyFont="1" applyFill="1" applyBorder="1" applyAlignment="1">
      <alignment horizontal="right" vertical="center"/>
    </xf>
    <xf numFmtId="164" fontId="19" fillId="6" borderId="15" xfId="0" applyNumberFormat="1" applyFont="1" applyFill="1" applyBorder="1" applyAlignment="1">
      <alignment horizontal="right" vertical="center"/>
    </xf>
    <xf numFmtId="164" fontId="19" fillId="6" borderId="0" xfId="0" applyNumberFormat="1" applyFont="1" applyFill="1" applyBorder="1" applyAlignment="1">
      <alignment horizontal="right" vertical="center"/>
    </xf>
    <xf numFmtId="164" fontId="7" fillId="0" borderId="15" xfId="0" applyNumberFormat="1" applyFont="1" applyBorder="1" applyAlignment="1">
      <alignment horizontal="right" vertical="center"/>
    </xf>
    <xf numFmtId="164" fontId="7" fillId="0" borderId="0" xfId="0" applyNumberFormat="1" applyFont="1" applyBorder="1" applyAlignment="1">
      <alignment horizontal="right" vertical="center"/>
    </xf>
    <xf numFmtId="164" fontId="7" fillId="0" borderId="8" xfId="0" applyNumberFormat="1" applyFont="1" applyBorder="1" applyAlignment="1">
      <alignment horizontal="right" vertical="center"/>
    </xf>
    <xf numFmtId="164" fontId="7" fillId="0" borderId="8" xfId="0" applyNumberFormat="1" applyFont="1" applyFill="1" applyBorder="1" applyAlignment="1">
      <alignment horizontal="right" vertical="center"/>
    </xf>
    <xf numFmtId="164" fontId="7" fillId="6" borderId="13" xfId="0" applyNumberFormat="1" applyFont="1" applyFill="1" applyBorder="1" applyAlignment="1">
      <alignment horizontal="right" vertical="center"/>
    </xf>
    <xf numFmtId="164" fontId="7" fillId="6" borderId="3" xfId="0" applyNumberFormat="1" applyFont="1" applyFill="1" applyBorder="1" applyAlignment="1">
      <alignment horizontal="right" vertical="center"/>
    </xf>
    <xf numFmtId="164" fontId="7" fillId="0" borderId="10" xfId="0" applyNumberFormat="1" applyFont="1" applyFill="1" applyBorder="1" applyAlignment="1">
      <alignment horizontal="right" vertical="center"/>
    </xf>
    <xf numFmtId="164" fontId="19" fillId="0" borderId="0" xfId="0" applyNumberFormat="1" applyFont="1" applyBorder="1" applyAlignment="1">
      <alignment horizontal="right" vertical="center"/>
    </xf>
    <xf numFmtId="164" fontId="7" fillId="0" borderId="3" xfId="0" applyNumberFormat="1" applyFont="1" applyBorder="1" applyAlignment="1">
      <alignment horizontal="right" vertical="center"/>
    </xf>
    <xf numFmtId="164" fontId="6" fillId="6" borderId="8" xfId="0" applyNumberFormat="1" applyFont="1" applyFill="1" applyBorder="1" applyAlignment="1">
      <alignment horizontal="center" vertical="center"/>
    </xf>
    <xf numFmtId="164" fontId="6" fillId="0" borderId="8" xfId="0" applyNumberFormat="1" applyFont="1" applyFill="1" applyBorder="1" applyAlignment="1">
      <alignment horizontal="center" vertical="center"/>
    </xf>
    <xf numFmtId="164" fontId="0" fillId="0" borderId="0" xfId="0" applyNumberFormat="1"/>
    <xf numFmtId="0" fontId="5" fillId="0" borderId="0" xfId="0" quotePrefix="1" applyFont="1" applyAlignment="1">
      <alignment vertical="top"/>
    </xf>
    <xf numFmtId="164" fontId="5" fillId="0" borderId="12" xfId="0" applyNumberFormat="1" applyFont="1" applyBorder="1" applyAlignment="1">
      <alignment horizontal="right" vertical="center"/>
    </xf>
    <xf numFmtId="164" fontId="5" fillId="0" borderId="8" xfId="0" applyNumberFormat="1" applyFont="1" applyFill="1" applyBorder="1" applyAlignment="1">
      <alignment horizontal="right" vertical="center"/>
    </xf>
    <xf numFmtId="164" fontId="6" fillId="0" borderId="6" xfId="0" applyNumberFormat="1" applyFont="1" applyFill="1" applyBorder="1" applyAlignment="1">
      <alignment horizontal="center" vertical="center"/>
    </xf>
    <xf numFmtId="166" fontId="0" fillId="0" borderId="0" xfId="0" applyNumberFormat="1" applyFill="1" applyBorder="1" applyAlignment="1"/>
    <xf numFmtId="164" fontId="5" fillId="6" borderId="10" xfId="0" applyNumberFormat="1" applyFont="1" applyFill="1" applyBorder="1" applyAlignment="1">
      <alignment horizontal="right" vertical="center"/>
    </xf>
    <xf numFmtId="0" fontId="5" fillId="0" borderId="0" xfId="0" applyFont="1" applyBorder="1" applyAlignment="1">
      <alignment horizontal="right" vertical="center"/>
    </xf>
    <xf numFmtId="164" fontId="19" fillId="6" borderId="8" xfId="0" applyNumberFormat="1" applyFont="1" applyFill="1" applyBorder="1" applyAlignment="1">
      <alignment horizontal="right" vertical="center"/>
    </xf>
    <xf numFmtId="0" fontId="33" fillId="0" borderId="0" xfId="77"/>
    <xf numFmtId="0" fontId="2" fillId="0" borderId="0" xfId="77" applyNumberFormat="1" applyFont="1" applyFill="1" applyBorder="1" applyAlignment="1"/>
    <xf numFmtId="164" fontId="5" fillId="6" borderId="3" xfId="0" applyNumberFormat="1" applyFont="1" applyFill="1" applyBorder="1" applyAlignment="1">
      <alignment horizontal="right" vertical="center"/>
    </xf>
    <xf numFmtId="164" fontId="5" fillId="6" borderId="8" xfId="0" applyNumberFormat="1" applyFont="1" applyFill="1" applyBorder="1" applyAlignment="1">
      <alignment horizontal="right" vertical="center"/>
    </xf>
    <xf numFmtId="164" fontId="5" fillId="0" borderId="8" xfId="0" applyNumberFormat="1" applyFont="1" applyBorder="1" applyAlignment="1">
      <alignment horizontal="right" vertical="center"/>
    </xf>
    <xf numFmtId="0" fontId="6" fillId="0" borderId="0" xfId="0" applyFont="1" applyAlignment="1">
      <alignment vertical="top"/>
    </xf>
    <xf numFmtId="164" fontId="5" fillId="0" borderId="12" xfId="0" applyNumberFormat="1" applyFont="1" applyFill="1" applyBorder="1" applyAlignment="1">
      <alignment horizontal="right" vertical="center"/>
    </xf>
    <xf numFmtId="0" fontId="6" fillId="41" borderId="6" xfId="0" applyFont="1" applyFill="1" applyBorder="1" applyAlignment="1">
      <alignment horizontal="center" vertical="center"/>
    </xf>
    <xf numFmtId="2" fontId="7" fillId="41" borderId="6" xfId="0" applyNumberFormat="1" applyFont="1" applyFill="1" applyBorder="1" applyAlignment="1">
      <alignment horizontal="right" vertical="center"/>
    </xf>
    <xf numFmtId="164" fontId="7" fillId="41" borderId="0" xfId="0" applyNumberFormat="1" applyFont="1" applyFill="1" applyBorder="1" applyAlignment="1">
      <alignment horizontal="right" vertical="center"/>
    </xf>
    <xf numFmtId="164" fontId="7" fillId="41" borderId="14" xfId="0" applyNumberFormat="1" applyFont="1" applyFill="1" applyBorder="1" applyAlignment="1">
      <alignment horizontal="right" vertical="center"/>
    </xf>
    <xf numFmtId="164" fontId="5" fillId="6" borderId="14" xfId="0" applyNumberFormat="1" applyFont="1" applyFill="1" applyBorder="1" applyAlignment="1">
      <alignment horizontal="right" vertical="center"/>
    </xf>
    <xf numFmtId="164" fontId="5" fillId="41" borderId="0" xfId="0" applyNumberFormat="1" applyFont="1" applyFill="1" applyBorder="1" applyAlignment="1">
      <alignment horizontal="right" vertical="center"/>
    </xf>
    <xf numFmtId="0" fontId="6" fillId="42" borderId="6" xfId="0" applyFont="1" applyFill="1" applyBorder="1" applyAlignment="1">
      <alignment horizontal="center" vertical="center"/>
    </xf>
    <xf numFmtId="2" fontId="7" fillId="42" borderId="6" xfId="0" applyNumberFormat="1" applyFont="1" applyFill="1" applyBorder="1" applyAlignment="1">
      <alignment horizontal="right" vertical="center"/>
    </xf>
    <xf numFmtId="164" fontId="7" fillId="42" borderId="0" xfId="0" applyNumberFormat="1" applyFont="1" applyFill="1" applyBorder="1" applyAlignment="1">
      <alignment horizontal="right" vertical="center"/>
    </xf>
    <xf numFmtId="164" fontId="7" fillId="42" borderId="19" xfId="0" applyNumberFormat="1" applyFont="1" applyFill="1" applyBorder="1" applyAlignment="1">
      <alignment horizontal="right" vertical="center"/>
    </xf>
    <xf numFmtId="164" fontId="5" fillId="42" borderId="0" xfId="0" applyNumberFormat="1" applyFont="1" applyFill="1" applyBorder="1" applyAlignment="1">
      <alignment horizontal="right" vertical="center"/>
    </xf>
    <xf numFmtId="164" fontId="7" fillId="42" borderId="3" xfId="0" applyNumberFormat="1" applyFont="1" applyFill="1" applyBorder="1" applyAlignment="1">
      <alignment horizontal="right" vertical="center"/>
    </xf>
    <xf numFmtId="164" fontId="7" fillId="6" borderId="20" xfId="0" applyNumberFormat="1" applyFont="1" applyFill="1" applyBorder="1" applyAlignment="1">
      <alignment horizontal="right" vertical="center"/>
    </xf>
    <xf numFmtId="164" fontId="7" fillId="0" borderId="20" xfId="0" applyNumberFormat="1" applyFont="1" applyFill="1" applyBorder="1" applyAlignment="1">
      <alignment horizontal="right" vertical="center"/>
    </xf>
    <xf numFmtId="164" fontId="19" fillId="41" borderId="0" xfId="0" applyNumberFormat="1" applyFont="1" applyFill="1" applyBorder="1" applyAlignment="1">
      <alignment horizontal="right" vertical="center"/>
    </xf>
    <xf numFmtId="164" fontId="19" fillId="0" borderId="12" xfId="0" applyNumberFormat="1" applyFont="1" applyBorder="1" applyAlignment="1">
      <alignment horizontal="right" vertical="center"/>
    </xf>
    <xf numFmtId="0" fontId="6" fillId="0" borderId="0" xfId="0" applyFont="1" applyFill="1" applyBorder="1" applyAlignment="1">
      <alignment horizontal="left"/>
    </xf>
    <xf numFmtId="164" fontId="5" fillId="6" borderId="20" xfId="0" applyNumberFormat="1" applyFont="1" applyFill="1" applyBorder="1" applyAlignment="1">
      <alignment horizontal="right" vertical="center"/>
    </xf>
    <xf numFmtId="164" fontId="7" fillId="42" borderId="15" xfId="0" applyNumberFormat="1" applyFont="1" applyFill="1" applyBorder="1" applyAlignment="1">
      <alignment horizontal="right" vertical="center"/>
    </xf>
    <xf numFmtId="164" fontId="7" fillId="42" borderId="8" xfId="0" applyNumberFormat="1" applyFont="1" applyFill="1" applyBorder="1" applyAlignment="1">
      <alignment horizontal="right" vertical="center"/>
    </xf>
    <xf numFmtId="0" fontId="6" fillId="42" borderId="5" xfId="0" applyFont="1" applyFill="1" applyBorder="1" applyAlignment="1">
      <alignment horizontal="center" vertical="center"/>
    </xf>
    <xf numFmtId="164" fontId="19" fillId="42" borderId="15" xfId="0" applyNumberFormat="1" applyFont="1" applyFill="1" applyBorder="1" applyAlignment="1">
      <alignment horizontal="right" vertical="center"/>
    </xf>
    <xf numFmtId="164" fontId="19" fillId="42" borderId="0" xfId="0" applyNumberFormat="1" applyFont="1" applyFill="1" applyBorder="1" applyAlignment="1">
      <alignment horizontal="right" vertical="center"/>
    </xf>
    <xf numFmtId="164" fontId="7" fillId="42" borderId="12" xfId="0" applyNumberFormat="1" applyFont="1" applyFill="1" applyBorder="1" applyAlignment="1">
      <alignment horizontal="right" vertical="center"/>
    </xf>
    <xf numFmtId="164" fontId="5" fillId="42" borderId="12" xfId="0" applyNumberFormat="1" applyFont="1" applyFill="1" applyBorder="1" applyAlignment="1">
      <alignment horizontal="right" vertical="center"/>
    </xf>
    <xf numFmtId="164" fontId="6" fillId="42" borderId="9" xfId="0" applyNumberFormat="1" applyFont="1" applyFill="1" applyBorder="1" applyAlignment="1">
      <alignment horizontal="center" vertical="center"/>
    </xf>
    <xf numFmtId="164" fontId="19" fillId="42" borderId="12" xfId="0" applyNumberFormat="1" applyFont="1" applyFill="1" applyBorder="1" applyAlignment="1">
      <alignment horizontal="right" vertical="center"/>
    </xf>
    <xf numFmtId="169" fontId="7" fillId="0" borderId="0" xfId="0" applyNumberFormat="1" applyFont="1" applyFill="1" applyBorder="1" applyAlignment="1">
      <alignment horizontal="right" vertical="center"/>
    </xf>
    <xf numFmtId="0" fontId="6" fillId="42" borderId="7" xfId="0" applyFont="1" applyFill="1" applyBorder="1" applyAlignment="1">
      <alignment horizontal="center" vertical="center"/>
    </xf>
    <xf numFmtId="2" fontId="7" fillId="42" borderId="7" xfId="0" applyNumberFormat="1" applyFont="1" applyFill="1" applyBorder="1" applyAlignment="1">
      <alignment horizontal="right" vertical="center"/>
    </xf>
    <xf numFmtId="164" fontId="7" fillId="42" borderId="10" xfId="0" applyNumberFormat="1" applyFont="1" applyFill="1" applyBorder="1" applyAlignment="1">
      <alignment horizontal="right" vertical="center"/>
    </xf>
    <xf numFmtId="164" fontId="5" fillId="42" borderId="8" xfId="0" applyNumberFormat="1" applyFont="1" applyFill="1" applyBorder="1" applyAlignment="1">
      <alignment horizontal="right" vertical="center"/>
    </xf>
    <xf numFmtId="164" fontId="7" fillId="41" borderId="8" xfId="0" applyNumberFormat="1" applyFont="1" applyFill="1" applyBorder="1" applyAlignment="1">
      <alignment horizontal="right" vertical="center"/>
    </xf>
    <xf numFmtId="164" fontId="5" fillId="41" borderId="8" xfId="0" applyNumberFormat="1" applyFont="1" applyFill="1" applyBorder="1" applyAlignment="1">
      <alignment horizontal="right" vertical="center"/>
    </xf>
    <xf numFmtId="164" fontId="5" fillId="0" borderId="3" xfId="0" applyNumberFormat="1" applyFont="1" applyFill="1" applyBorder="1" applyAlignment="1">
      <alignment horizontal="right" vertical="center"/>
    </xf>
    <xf numFmtId="164" fontId="19" fillId="41" borderId="8" xfId="0" applyNumberFormat="1" applyFont="1" applyFill="1" applyBorder="1" applyAlignment="1">
      <alignment horizontal="right" vertical="center"/>
    </xf>
    <xf numFmtId="2" fontId="7" fillId="42" borderId="5" xfId="0" applyNumberFormat="1" applyFont="1" applyFill="1" applyBorder="1" applyAlignment="1">
      <alignment horizontal="right" vertical="center"/>
    </xf>
    <xf numFmtId="164" fontId="7" fillId="42" borderId="13" xfId="0" applyNumberFormat="1" applyFont="1" applyFill="1" applyBorder="1" applyAlignment="1">
      <alignment horizontal="right" vertical="center"/>
    </xf>
    <xf numFmtId="164" fontId="7" fillId="42" borderId="22" xfId="0" applyNumberFormat="1" applyFont="1" applyFill="1" applyBorder="1" applyAlignment="1">
      <alignment horizontal="right" vertical="center"/>
    </xf>
    <xf numFmtId="164" fontId="19" fillId="42" borderId="8" xfId="0" applyNumberFormat="1" applyFont="1" applyFill="1" applyBorder="1" applyAlignment="1">
      <alignment horizontal="right" vertical="center"/>
    </xf>
    <xf numFmtId="166" fontId="5" fillId="0" borderId="23" xfId="0" applyNumberFormat="1" applyFont="1" applyFill="1" applyBorder="1" applyAlignment="1">
      <alignment horizontal="right"/>
    </xf>
    <xf numFmtId="166" fontId="5" fillId="0" borderId="8" xfId="0"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15" xfId="0" applyNumberFormat="1" applyFont="1" applyFill="1" applyBorder="1" applyAlignment="1">
      <alignment horizontal="right"/>
    </xf>
    <xf numFmtId="166" fontId="5" fillId="0" borderId="24" xfId="0" applyNumberFormat="1" applyFont="1" applyFill="1" applyBorder="1" applyAlignment="1">
      <alignment horizontal="right"/>
    </xf>
    <xf numFmtId="166" fontId="5" fillId="0" borderId="25" xfId="0" applyNumberFormat="1" applyFont="1" applyFill="1" applyBorder="1" applyAlignment="1">
      <alignment horizontal="right"/>
    </xf>
    <xf numFmtId="164" fontId="5" fillId="0" borderId="0" xfId="0" applyNumberFormat="1" applyFont="1" applyFill="1" applyBorder="1" applyAlignment="1">
      <alignment horizontal="center" vertical="center"/>
    </xf>
    <xf numFmtId="164" fontId="5" fillId="0" borderId="15" xfId="0" applyNumberFormat="1" applyFont="1" applyFill="1" applyBorder="1" applyAlignment="1">
      <alignment horizontal="center" vertical="center"/>
    </xf>
    <xf numFmtId="164" fontId="6" fillId="42" borderId="10" xfId="0" applyNumberFormat="1" applyFont="1" applyFill="1" applyBorder="1" applyAlignment="1">
      <alignment horizontal="center" vertical="center"/>
    </xf>
    <xf numFmtId="0" fontId="0" fillId="0" borderId="12" xfId="0" applyBorder="1"/>
    <xf numFmtId="170" fontId="7" fillId="0" borderId="11" xfId="0" applyNumberFormat="1" applyFont="1" applyFill="1" applyBorder="1" applyAlignment="1">
      <alignment horizontal="center"/>
    </xf>
    <xf numFmtId="170" fontId="7" fillId="0" borderId="12" xfId="0" applyNumberFormat="1" applyFont="1" applyFill="1" applyBorder="1" applyAlignment="1">
      <alignment horizontal="center"/>
    </xf>
    <xf numFmtId="170" fontId="7" fillId="0" borderId="9" xfId="0" applyNumberFormat="1" applyFont="1" applyFill="1" applyBorder="1" applyAlignment="1">
      <alignment horizontal="center"/>
    </xf>
    <xf numFmtId="170" fontId="9" fillId="0" borderId="6" xfId="0" applyNumberFormat="1" applyFont="1" applyFill="1" applyBorder="1" applyAlignment="1">
      <alignment horizontal="center"/>
    </xf>
    <xf numFmtId="170" fontId="7" fillId="0" borderId="15" xfId="0" applyNumberFormat="1" applyFont="1" applyFill="1" applyBorder="1" applyAlignment="1">
      <alignment horizontal="center"/>
    </xf>
    <xf numFmtId="170" fontId="7" fillId="0" borderId="0" xfId="0" applyNumberFormat="1" applyFont="1" applyFill="1" applyBorder="1" applyAlignment="1">
      <alignment horizontal="center"/>
    </xf>
    <xf numFmtId="170" fontId="7" fillId="0" borderId="8" xfId="0" applyNumberFormat="1" applyFont="1" applyFill="1" applyBorder="1" applyAlignment="1">
      <alignment horizontal="center"/>
    </xf>
    <xf numFmtId="170" fontId="7" fillId="0" borderId="26" xfId="0" applyNumberFormat="1" applyFont="1" applyFill="1" applyBorder="1" applyAlignment="1">
      <alignment horizontal="center"/>
    </xf>
    <xf numFmtId="170" fontId="7" fillId="0" borderId="27" xfId="0" applyNumberFormat="1" applyFont="1" applyFill="1" applyBorder="1" applyAlignment="1">
      <alignment horizontal="center"/>
    </xf>
    <xf numFmtId="170" fontId="7" fillId="0" borderId="28" xfId="0" applyNumberFormat="1" applyFont="1" applyFill="1" applyBorder="1" applyAlignment="1">
      <alignment horizontal="center"/>
    </xf>
    <xf numFmtId="170" fontId="7" fillId="0" borderId="0" xfId="0" applyNumberFormat="1" applyFont="1" applyFill="1" applyBorder="1" applyAlignment="1">
      <alignment horizontal="center" vertical="center"/>
    </xf>
    <xf numFmtId="170" fontId="7" fillId="0" borderId="8" xfId="0" applyNumberFormat="1" applyFont="1" applyFill="1" applyBorder="1" applyAlignment="1">
      <alignment horizontal="center" vertical="center"/>
    </xf>
    <xf numFmtId="170" fontId="5" fillId="0" borderId="15" xfId="0" applyNumberFormat="1" applyFont="1" applyFill="1" applyBorder="1" applyAlignment="1">
      <alignment horizontal="center"/>
    </xf>
    <xf numFmtId="170" fontId="5" fillId="0" borderId="15" xfId="0" applyNumberFormat="1" applyFont="1" applyFill="1" applyBorder="1" applyAlignment="1">
      <alignment horizontal="center" vertical="center"/>
    </xf>
    <xf numFmtId="170" fontId="5" fillId="0" borderId="0" xfId="0" applyNumberFormat="1" applyFont="1" applyFill="1" applyBorder="1" applyAlignment="1">
      <alignment horizontal="center"/>
    </xf>
    <xf numFmtId="170" fontId="5" fillId="0" borderId="8" xfId="0" applyNumberFormat="1" applyFont="1" applyFill="1" applyBorder="1" applyAlignment="1">
      <alignment horizontal="center"/>
    </xf>
    <xf numFmtId="0" fontId="9" fillId="0" borderId="0" xfId="0" quotePrefix="1" applyFont="1" applyFill="1" applyBorder="1" applyAlignment="1">
      <alignment wrapText="1"/>
    </xf>
    <xf numFmtId="164" fontId="5" fillId="42" borderId="10" xfId="0" applyNumberFormat="1" applyFont="1" applyFill="1" applyBorder="1" applyAlignment="1">
      <alignment horizontal="right" vertical="center"/>
    </xf>
    <xf numFmtId="170" fontId="5" fillId="0" borderId="29" xfId="0" applyNumberFormat="1" applyFont="1" applyFill="1" applyBorder="1" applyAlignment="1">
      <alignment horizontal="center"/>
    </xf>
    <xf numFmtId="170" fontId="5" fillId="0" borderId="0" xfId="0" applyNumberFormat="1" applyFont="1" applyFill="1" applyBorder="1" applyAlignment="1">
      <alignment horizontal="center" vertical="center"/>
    </xf>
    <xf numFmtId="164" fontId="5" fillId="0" borderId="30" xfId="0" applyNumberFormat="1" applyFont="1" applyFill="1" applyBorder="1" applyAlignment="1">
      <alignment horizontal="center" vertical="center"/>
    </xf>
    <xf numFmtId="164" fontId="19" fillId="6" borderId="15" xfId="0" applyNumberFormat="1" applyFont="1" applyFill="1" applyBorder="1" applyAlignment="1">
      <alignment horizontal="center" vertical="center"/>
    </xf>
    <xf numFmtId="164" fontId="19" fillId="6" borderId="0" xfId="0" applyNumberFormat="1" applyFont="1" applyFill="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12" fillId="0" borderId="0" xfId="0" applyFont="1" applyAlignment="1">
      <alignment vertical="top"/>
    </xf>
    <xf numFmtId="0" fontId="6" fillId="7" borderId="31"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0" borderId="0" xfId="0" applyFont="1" applyFill="1" applyBorder="1" applyAlignment="1">
      <alignment horizontal="center" vertical="center" wrapText="1"/>
    </xf>
    <xf numFmtId="164" fontId="19" fillId="42" borderId="3" xfId="0" applyNumberFormat="1" applyFont="1" applyFill="1" applyBorder="1" applyAlignment="1">
      <alignment horizontal="right" vertical="center"/>
    </xf>
    <xf numFmtId="0" fontId="6" fillId="0" borderId="0" xfId="0" applyFont="1" applyAlignment="1"/>
    <xf numFmtId="164" fontId="7" fillId="0" borderId="20" xfId="0" applyNumberFormat="1" applyFont="1" applyBorder="1" applyAlignment="1">
      <alignment horizontal="right" vertical="center"/>
    </xf>
    <xf numFmtId="164" fontId="9" fillId="6" borderId="6" xfId="0" applyNumberFormat="1" applyFont="1" applyFill="1" applyBorder="1" applyAlignment="1">
      <alignment horizontal="center" vertical="center"/>
    </xf>
    <xf numFmtId="164" fontId="5" fillId="42" borderId="3" xfId="0" applyNumberFormat="1" applyFont="1" applyFill="1" applyBorder="1" applyAlignment="1">
      <alignment horizontal="right" vertical="center"/>
    </xf>
    <xf numFmtId="164" fontId="5" fillId="0" borderId="10" xfId="0" applyNumberFormat="1" applyFont="1" applyFill="1" applyBorder="1" applyAlignment="1">
      <alignment horizontal="right" vertical="center"/>
    </xf>
    <xf numFmtId="170" fontId="5" fillId="0" borderId="30" xfId="0" applyNumberFormat="1" applyFont="1" applyFill="1" applyBorder="1" applyAlignment="1">
      <alignment horizontal="center"/>
    </xf>
    <xf numFmtId="164" fontId="5" fillId="0" borderId="29" xfId="0" applyNumberFormat="1" applyFont="1" applyFill="1" applyBorder="1" applyAlignment="1">
      <alignment horizontal="center" vertical="center"/>
    </xf>
    <xf numFmtId="164" fontId="6" fillId="0" borderId="34" xfId="0" applyNumberFormat="1" applyFont="1" applyFill="1" applyBorder="1" applyAlignment="1">
      <alignment horizontal="center" vertical="center"/>
    </xf>
    <xf numFmtId="166" fontId="5" fillId="0" borderId="35" xfId="0" applyNumberFormat="1" applyFont="1" applyFill="1" applyBorder="1" applyAlignment="1">
      <alignment horizontal="right"/>
    </xf>
    <xf numFmtId="166" fontId="5" fillId="0" borderId="36" xfId="0" applyNumberFormat="1" applyFont="1" applyFill="1" applyBorder="1" applyAlignment="1">
      <alignment horizontal="right"/>
    </xf>
    <xf numFmtId="0" fontId="7" fillId="0" borderId="0" xfId="0" applyFont="1" applyAlignment="1">
      <alignment horizontal="left" vertical="top" wrapText="1"/>
    </xf>
    <xf numFmtId="0" fontId="6" fillId="6" borderId="18" xfId="0" applyFont="1" applyFill="1" applyBorder="1" applyAlignment="1">
      <alignment horizontal="center" vertical="center"/>
    </xf>
    <xf numFmtId="170" fontId="20" fillId="6" borderId="31" xfId="0" applyNumberFormat="1" applyFont="1" applyFill="1" applyBorder="1" applyAlignment="1">
      <alignment horizontal="right" vertical="center"/>
    </xf>
    <xf numFmtId="170" fontId="20" fillId="6" borderId="32" xfId="0" applyNumberFormat="1" applyFont="1" applyFill="1" applyBorder="1" applyAlignment="1">
      <alignment horizontal="right" vertical="center"/>
    </xf>
    <xf numFmtId="164" fontId="6" fillId="6" borderId="33" xfId="0" applyNumberFormat="1" applyFont="1" applyFill="1" applyBorder="1" applyAlignment="1">
      <alignment horizontal="center" vertical="center"/>
    </xf>
    <xf numFmtId="164" fontId="6" fillId="6" borderId="18" xfId="0" applyNumberFormat="1" applyFont="1" applyFill="1" applyBorder="1" applyAlignment="1">
      <alignment horizontal="center" vertical="center"/>
    </xf>
    <xf numFmtId="0" fontId="6" fillId="0" borderId="0" xfId="0" quotePrefix="1" applyFont="1" applyFill="1" applyBorder="1" applyAlignment="1"/>
    <xf numFmtId="0" fontId="9" fillId="0" borderId="0" xfId="0" quotePrefix="1" applyFont="1" applyFill="1" applyBorder="1" applyAlignment="1"/>
    <xf numFmtId="164" fontId="20" fillId="6" borderId="31" xfId="0" applyNumberFormat="1" applyFont="1" applyFill="1" applyBorder="1" applyAlignment="1">
      <alignment horizontal="right" vertical="center"/>
    </xf>
    <xf numFmtId="164" fontId="20" fillId="6" borderId="32" xfId="0" applyNumberFormat="1" applyFont="1" applyFill="1" applyBorder="1" applyAlignment="1">
      <alignment horizontal="right" vertical="center"/>
    </xf>
    <xf numFmtId="0" fontId="5" fillId="0" borderId="0" xfId="0" quotePrefix="1" applyFont="1" applyFill="1" applyBorder="1" applyAlignment="1">
      <alignment vertical="top"/>
    </xf>
    <xf numFmtId="170" fontId="6" fillId="6" borderId="32" xfId="0" applyNumberFormat="1" applyFont="1" applyFill="1" applyBorder="1" applyAlignment="1">
      <alignment horizontal="right" vertical="center"/>
    </xf>
    <xf numFmtId="0" fontId="6" fillId="0" borderId="0" xfId="0" quotePrefix="1" applyFont="1" applyFill="1" applyBorder="1" applyAlignment="1">
      <alignment horizontal="left"/>
    </xf>
    <xf numFmtId="164" fontId="5" fillId="0" borderId="11" xfId="0" applyNumberFormat="1" applyFont="1" applyBorder="1" applyAlignment="1">
      <alignment horizontal="right" vertical="center"/>
    </xf>
    <xf numFmtId="164" fontId="7" fillId="0" borderId="37" xfId="0" applyNumberFormat="1" applyFont="1" applyFill="1" applyBorder="1" applyAlignment="1">
      <alignment horizontal="right" vertical="center"/>
    </xf>
    <xf numFmtId="0" fontId="5" fillId="0" borderId="3" xfId="0" applyFont="1" applyBorder="1" applyAlignment="1">
      <alignment vertical="center"/>
    </xf>
    <xf numFmtId="0" fontId="7" fillId="0" borderId="3" xfId="0" applyFont="1" applyBorder="1" applyAlignment="1">
      <alignment vertical="center"/>
    </xf>
    <xf numFmtId="164" fontId="9" fillId="6" borderId="18" xfId="0" applyNumberFormat="1" applyFont="1" applyFill="1" applyBorder="1" applyAlignment="1">
      <alignment horizontal="right" vertical="center"/>
    </xf>
    <xf numFmtId="164" fontId="6" fillId="6" borderId="32" xfId="0" applyNumberFormat="1" applyFont="1" applyFill="1" applyBorder="1" applyAlignment="1">
      <alignment horizontal="right" vertical="center"/>
    </xf>
    <xf numFmtId="164" fontId="5" fillId="42" borderId="38" xfId="0" applyNumberFormat="1" applyFont="1" applyFill="1" applyBorder="1" applyAlignment="1">
      <alignment horizontal="right" vertical="center"/>
    </xf>
    <xf numFmtId="0" fontId="5" fillId="0" borderId="0" xfId="0" applyFont="1" applyAlignment="1">
      <alignment horizontal="left" vertical="top"/>
    </xf>
    <xf numFmtId="0" fontId="30" fillId="6" borderId="15" xfId="0" applyFont="1" applyFill="1" applyBorder="1" applyAlignment="1">
      <alignment horizontal="center" vertical="center"/>
    </xf>
    <xf numFmtId="164" fontId="19" fillId="0" borderId="15" xfId="0" applyNumberFormat="1" applyFont="1" applyFill="1" applyBorder="1" applyAlignment="1">
      <alignment horizontal="center" vertical="center"/>
    </xf>
    <xf numFmtId="166" fontId="19" fillId="0" borderId="15" xfId="0" applyNumberFormat="1" applyFont="1" applyFill="1" applyBorder="1" applyAlignment="1">
      <alignment horizontal="right"/>
    </xf>
    <xf numFmtId="0" fontId="9" fillId="0" borderId="0" xfId="0" applyFont="1" applyAlignment="1">
      <alignment wrapText="1"/>
    </xf>
    <xf numFmtId="1" fontId="6" fillId="7" borderId="0" xfId="0" applyNumberFormat="1" applyFont="1" applyFill="1" applyBorder="1" applyAlignment="1">
      <alignment horizontal="center"/>
    </xf>
    <xf numFmtId="0" fontId="2" fillId="0" borderId="0" xfId="0" applyFont="1"/>
    <xf numFmtId="0" fontId="5" fillId="0" borderId="0" xfId="0" applyFont="1" applyBorder="1" applyAlignment="1">
      <alignment vertical="center"/>
    </xf>
    <xf numFmtId="164" fontId="6" fillId="6" borderId="33" xfId="0" applyNumberFormat="1" applyFont="1" applyFill="1" applyBorder="1" applyAlignment="1">
      <alignment horizontal="right" vertical="center"/>
    </xf>
    <xf numFmtId="164" fontId="7" fillId="0" borderId="12" xfId="0" applyNumberFormat="1" applyFont="1" applyBorder="1" applyAlignment="1">
      <alignment horizontal="right" vertical="center"/>
    </xf>
    <xf numFmtId="164" fontId="19" fillId="42" borderId="10" xfId="0" applyNumberFormat="1" applyFont="1" applyFill="1" applyBorder="1" applyAlignment="1">
      <alignment horizontal="right" vertical="center"/>
    </xf>
    <xf numFmtId="170" fontId="5" fillId="0" borderId="8" xfId="0" applyNumberFormat="1" applyFont="1" applyFill="1" applyBorder="1" applyAlignment="1">
      <alignment horizontal="center" vertical="center"/>
    </xf>
    <xf numFmtId="172" fontId="5" fillId="0" borderId="15" xfId="0" applyNumberFormat="1" applyFont="1" applyFill="1" applyBorder="1" applyAlignment="1">
      <alignment horizontal="center"/>
    </xf>
    <xf numFmtId="0" fontId="0" fillId="0" borderId="15" xfId="0" applyBorder="1"/>
    <xf numFmtId="166" fontId="19" fillId="0" borderId="13" xfId="0" applyNumberFormat="1" applyFont="1" applyFill="1" applyBorder="1" applyAlignment="1">
      <alignment horizontal="right"/>
    </xf>
    <xf numFmtId="0" fontId="0" fillId="0" borderId="13" xfId="0" applyBorder="1"/>
    <xf numFmtId="0" fontId="0" fillId="0" borderId="8" xfId="0" applyBorder="1"/>
    <xf numFmtId="164" fontId="5" fillId="0" borderId="8"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7" fontId="28" fillId="0" borderId="5" xfId="0" applyNumberFormat="1" applyFont="1" applyFill="1" applyBorder="1" applyAlignment="1">
      <alignment horizontal="right" vertical="center"/>
    </xf>
    <xf numFmtId="167" fontId="28" fillId="0" borderId="7" xfId="0" applyNumberFormat="1" applyFont="1" applyFill="1" applyBorder="1" applyAlignment="1">
      <alignment horizontal="right" vertical="center"/>
    </xf>
    <xf numFmtId="164" fontId="20" fillId="6" borderId="0" xfId="0" applyNumberFormat="1" applyFont="1" applyFill="1" applyBorder="1" applyAlignment="1">
      <alignment horizontal="right" vertical="center"/>
    </xf>
    <xf numFmtId="0" fontId="6" fillId="0" borderId="0" xfId="0" applyFont="1" applyAlignment="1">
      <alignment horizontal="center"/>
    </xf>
    <xf numFmtId="0" fontId="6" fillId="41" borderId="7" xfId="0" applyFont="1" applyFill="1" applyBorder="1" applyAlignment="1">
      <alignment horizontal="center" vertical="center"/>
    </xf>
    <xf numFmtId="2" fontId="7" fillId="41" borderId="7" xfId="0" applyNumberFormat="1" applyFont="1" applyFill="1" applyBorder="1" applyAlignment="1">
      <alignment horizontal="right" vertical="center"/>
    </xf>
    <xf numFmtId="164" fontId="7" fillId="41" borderId="3" xfId="0" applyNumberFormat="1" applyFont="1" applyFill="1" applyBorder="1" applyAlignment="1">
      <alignment horizontal="right" vertical="center"/>
    </xf>
    <xf numFmtId="164" fontId="5" fillId="41" borderId="3" xfId="0" applyNumberFormat="1" applyFont="1" applyFill="1" applyBorder="1" applyAlignment="1">
      <alignment horizontal="right" vertical="center"/>
    </xf>
    <xf numFmtId="0" fontId="12" fillId="0" borderId="0" xfId="0" applyFont="1" applyAlignment="1">
      <alignment horizontal="center" vertical="center"/>
    </xf>
    <xf numFmtId="0" fontId="0" fillId="0" borderId="0" xfId="0" applyAlignment="1">
      <alignment horizontal="center" vertical="center"/>
    </xf>
    <xf numFmtId="164" fontId="5" fillId="0" borderId="3" xfId="0" applyNumberFormat="1" applyFont="1" applyBorder="1" applyAlignment="1">
      <alignment horizontal="right" vertical="center"/>
    </xf>
    <xf numFmtId="0" fontId="0" fillId="0" borderId="0" xfId="0" applyBorder="1" applyAlignment="1">
      <alignment horizontal="center" vertical="center"/>
    </xf>
    <xf numFmtId="0" fontId="2" fillId="0" borderId="0" xfId="0" applyFont="1" applyBorder="1"/>
    <xf numFmtId="0" fontId="6" fillId="7" borderId="1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0" fillId="41" borderId="0" xfId="0" applyFill="1"/>
    <xf numFmtId="0" fontId="0" fillId="41" borderId="0" xfId="0" applyFill="1" applyAlignment="1">
      <alignment horizontal="center" vertical="center"/>
    </xf>
    <xf numFmtId="164" fontId="7" fillId="6" borderId="31" xfId="0" applyNumberFormat="1" applyFont="1" applyFill="1" applyBorder="1" applyAlignment="1">
      <alignment horizontal="right" vertical="center"/>
    </xf>
    <xf numFmtId="164" fontId="7" fillId="6" borderId="32" xfId="0" applyNumberFormat="1" applyFont="1" applyFill="1" applyBorder="1" applyAlignment="1">
      <alignment horizontal="right" vertical="center"/>
    </xf>
    <xf numFmtId="164" fontId="5" fillId="6" borderId="32" xfId="0" applyNumberFormat="1" applyFont="1" applyFill="1" applyBorder="1" applyAlignment="1">
      <alignment horizontal="right" vertical="center"/>
    </xf>
    <xf numFmtId="1" fontId="6" fillId="0" borderId="6"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42" borderId="5" xfId="0" applyNumberFormat="1" applyFont="1" applyFill="1" applyBorder="1" applyAlignment="1">
      <alignment horizontal="center" vertical="center"/>
    </xf>
    <xf numFmtId="164" fontId="6" fillId="42" borderId="7" xfId="0" applyNumberFormat="1" applyFont="1" applyFill="1" applyBorder="1" applyAlignment="1">
      <alignment horizontal="center" vertical="center"/>
    </xf>
    <xf numFmtId="164" fontId="24" fillId="0" borderId="0" xfId="0" quotePrefix="1" applyNumberFormat="1" applyFont="1" applyBorder="1" applyAlignment="1">
      <alignment horizontal="right" vertical="top"/>
    </xf>
    <xf numFmtId="164" fontId="30" fillId="7" borderId="5" xfId="0" applyNumberFormat="1" applyFont="1" applyFill="1" applyBorder="1" applyAlignment="1">
      <alignment horizontal="center" wrapText="1"/>
    </xf>
    <xf numFmtId="164" fontId="9" fillId="7" borderId="7" xfId="0" applyNumberFormat="1" applyFont="1" applyFill="1" applyBorder="1" applyAlignment="1">
      <alignment horizontal="center" vertical="top"/>
    </xf>
    <xf numFmtId="164" fontId="0" fillId="0" borderId="12" xfId="0" applyNumberFormat="1" applyBorder="1"/>
    <xf numFmtId="164" fontId="9" fillId="0" borderId="0" xfId="0" quotePrefix="1" applyNumberFormat="1" applyFont="1" applyFill="1" applyBorder="1" applyAlignment="1">
      <alignment wrapText="1"/>
    </xf>
    <xf numFmtId="164" fontId="7" fillId="0" borderId="0" xfId="0" quotePrefix="1" applyNumberFormat="1" applyFont="1" applyFill="1" applyBorder="1" applyAlignment="1">
      <alignment vertical="top" wrapText="1"/>
    </xf>
    <xf numFmtId="164" fontId="6" fillId="0" borderId="7" xfId="0" applyNumberFormat="1" applyFont="1" applyFill="1" applyBorder="1" applyAlignment="1">
      <alignment horizontal="center" vertical="center"/>
    </xf>
    <xf numFmtId="49" fontId="6" fillId="9" borderId="5" xfId="0" applyNumberFormat="1" applyFont="1" applyFill="1" applyBorder="1" applyAlignment="1">
      <alignment horizontal="center" vertical="center"/>
    </xf>
    <xf numFmtId="164" fontId="0" fillId="0" borderId="0" xfId="0" applyNumberFormat="1" applyAlignment="1">
      <alignment horizontal="center" vertical="center"/>
    </xf>
    <xf numFmtId="164" fontId="20" fillId="6" borderId="18" xfId="0" applyNumberFormat="1" applyFont="1" applyFill="1" applyBorder="1" applyAlignment="1">
      <alignment horizontal="center" vertical="center"/>
    </xf>
    <xf numFmtId="164" fontId="0" fillId="0" borderId="0" xfId="0" applyNumberFormat="1" applyBorder="1" applyAlignment="1">
      <alignment horizontal="center" vertical="center"/>
    </xf>
    <xf numFmtId="0" fontId="30" fillId="6" borderId="0" xfId="0" applyFont="1" applyFill="1" applyBorder="1" applyAlignment="1">
      <alignment horizontal="center" vertical="center"/>
    </xf>
    <xf numFmtId="164" fontId="7" fillId="41" borderId="6" xfId="0" applyNumberFormat="1" applyFont="1" applyFill="1" applyBorder="1" applyAlignment="1">
      <alignment horizontal="right" vertical="center"/>
    </xf>
    <xf numFmtId="164" fontId="5" fillId="6" borderId="6" xfId="0" applyNumberFormat="1" applyFont="1" applyFill="1" applyBorder="1" applyAlignment="1">
      <alignment horizontal="right" vertical="center"/>
    </xf>
    <xf numFmtId="164" fontId="5" fillId="6" borderId="7" xfId="0" applyNumberFormat="1" applyFont="1" applyFill="1" applyBorder="1" applyAlignment="1">
      <alignment horizontal="right" vertical="center"/>
    </xf>
    <xf numFmtId="1" fontId="6" fillId="7" borderId="8" xfId="0" applyNumberFormat="1" applyFont="1" applyFill="1" applyBorder="1" applyAlignment="1">
      <alignment horizontal="center" vertical="center"/>
    </xf>
    <xf numFmtId="2" fontId="7" fillId="42" borderId="18" xfId="0" applyNumberFormat="1" applyFont="1" applyFill="1" applyBorder="1" applyAlignment="1">
      <alignment horizontal="right" vertical="center"/>
    </xf>
    <xf numFmtId="164" fontId="5" fillId="0" borderId="0" xfId="0" applyNumberFormat="1" applyFont="1"/>
    <xf numFmtId="164" fontId="13" fillId="0" borderId="0" xfId="0" applyNumberFormat="1" applyFont="1"/>
    <xf numFmtId="164" fontId="5" fillId="0" borderId="0" xfId="0" applyNumberFormat="1" applyFont="1" applyAlignment="1">
      <alignment vertical="top"/>
    </xf>
    <xf numFmtId="0" fontId="6" fillId="6" borderId="0" xfId="0" applyFont="1" applyFill="1" applyBorder="1" applyAlignment="1">
      <alignment horizontal="center" vertical="center" wrapText="1"/>
    </xf>
    <xf numFmtId="0" fontId="2" fillId="0" borderId="0" xfId="0" applyFont="1" applyAlignment="1">
      <alignment horizontal="center" vertical="center"/>
    </xf>
    <xf numFmtId="0" fontId="6" fillId="6" borderId="13" xfId="0" applyFont="1" applyFill="1" applyBorder="1" applyAlignment="1">
      <alignment horizontal="center" vertical="center"/>
    </xf>
    <xf numFmtId="167" fontId="28" fillId="0" borderId="3" xfId="0" applyNumberFormat="1" applyFont="1" applyFill="1" applyBorder="1" applyAlignment="1">
      <alignment horizontal="right" vertical="center"/>
    </xf>
    <xf numFmtId="167" fontId="28" fillId="0" borderId="12" xfId="0" applyNumberFormat="1" applyFont="1" applyFill="1" applyBorder="1" applyAlignment="1">
      <alignment horizontal="right" vertical="center"/>
    </xf>
    <xf numFmtId="0" fontId="9" fillId="6" borderId="9"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6" fillId="6" borderId="8" xfId="0" applyFont="1" applyFill="1" applyBorder="1" applyAlignment="1">
      <alignment horizontal="center" vertical="center" wrapText="1"/>
    </xf>
    <xf numFmtId="164" fontId="7" fillId="0" borderId="13" xfId="0" applyNumberFormat="1" applyFont="1" applyBorder="1" applyAlignment="1">
      <alignment horizontal="right" vertical="center"/>
    </xf>
    <xf numFmtId="0" fontId="6" fillId="42" borderId="18" xfId="0" applyFont="1" applyFill="1" applyBorder="1" applyAlignment="1">
      <alignment horizontal="center" vertical="center"/>
    </xf>
    <xf numFmtId="164" fontId="19" fillId="0" borderId="9" xfId="53" applyNumberFormat="1" applyFont="1" applyFill="1" applyBorder="1" applyAlignment="1">
      <alignment horizontal="right" vertical="center"/>
    </xf>
    <xf numFmtId="164" fontId="5" fillId="0" borderId="30" xfId="0" applyNumberFormat="1" applyFont="1" applyFill="1" applyBorder="1" applyAlignment="1">
      <alignment horizontal="right" vertical="center"/>
    </xf>
    <xf numFmtId="164" fontId="19" fillId="0" borderId="13" xfId="0" applyNumberFormat="1" applyFont="1" applyFill="1" applyBorder="1" applyAlignment="1">
      <alignment horizontal="right" vertical="center"/>
    </xf>
    <xf numFmtId="164" fontId="19" fillId="0" borderId="8" xfId="53" applyNumberFormat="1" applyFont="1" applyFill="1" applyBorder="1" applyAlignment="1">
      <alignment horizontal="right" vertical="center"/>
    </xf>
    <xf numFmtId="1" fontId="20" fillId="0" borderId="0" xfId="0" applyNumberFormat="1" applyFont="1" applyFill="1" applyBorder="1" applyAlignment="1">
      <alignment horizontal="right" vertical="center"/>
    </xf>
    <xf numFmtId="164" fontId="6" fillId="0" borderId="0" xfId="0" applyNumberFormat="1" applyFont="1" applyFill="1" applyBorder="1" applyAlignment="1">
      <alignment horizontal="center" vertical="center"/>
    </xf>
    <xf numFmtId="164" fontId="5" fillId="6" borderId="33" xfId="0" applyNumberFormat="1" applyFont="1" applyFill="1" applyBorder="1" applyAlignment="1">
      <alignment horizontal="right" vertical="center"/>
    </xf>
    <xf numFmtId="0" fontId="0" fillId="0" borderId="0" xfId="0" applyAlignment="1">
      <alignment horizontal="right"/>
    </xf>
    <xf numFmtId="0" fontId="24" fillId="0" borderId="0" xfId="0" applyFont="1" applyBorder="1" applyAlignment="1">
      <alignment horizontal="right" vertical="top" wrapText="1"/>
    </xf>
    <xf numFmtId="0" fontId="23" fillId="0" borderId="0" xfId="0" applyFont="1" applyBorder="1" applyAlignment="1">
      <alignment horizontal="right" vertical="center" wrapText="1"/>
    </xf>
    <xf numFmtId="0" fontId="13" fillId="0" borderId="0" xfId="0" applyFont="1" applyAlignment="1">
      <alignment horizontal="right"/>
    </xf>
    <xf numFmtId="0" fontId="30" fillId="7" borderId="9" xfId="0" applyFont="1" applyFill="1" applyBorder="1" applyAlignment="1">
      <alignment horizontal="right" wrapText="1"/>
    </xf>
    <xf numFmtId="0" fontId="9" fillId="7" borderId="10" xfId="0" applyFont="1" applyFill="1" applyBorder="1" applyAlignment="1">
      <alignment horizontal="right" vertical="top"/>
    </xf>
    <xf numFmtId="0" fontId="9" fillId="0" borderId="0" xfId="0" quotePrefix="1" applyFont="1" applyFill="1" applyBorder="1" applyAlignment="1">
      <alignment horizontal="right" wrapText="1"/>
    </xf>
    <xf numFmtId="0" fontId="7" fillId="0" borderId="0" xfId="0" quotePrefix="1" applyFont="1" applyFill="1" applyBorder="1" applyAlignment="1">
      <alignment horizontal="right" vertical="top" wrapText="1"/>
    </xf>
    <xf numFmtId="164" fontId="7" fillId="42" borderId="39" xfId="0" applyNumberFormat="1" applyFont="1" applyFill="1" applyBorder="1" applyAlignment="1">
      <alignment horizontal="right" vertical="center"/>
    </xf>
    <xf numFmtId="164" fontId="7" fillId="0" borderId="38" xfId="0" applyNumberFormat="1" applyFont="1" applyBorder="1" applyAlignment="1">
      <alignment horizontal="right" vertical="center"/>
    </xf>
    <xf numFmtId="164" fontId="7" fillId="0" borderId="10" xfId="0" applyNumberFormat="1" applyFont="1" applyBorder="1" applyAlignment="1">
      <alignment horizontal="right" vertical="center"/>
    </xf>
    <xf numFmtId="0" fontId="6" fillId="6" borderId="31" xfId="0" applyFont="1" applyFill="1" applyBorder="1" applyAlignment="1">
      <alignment horizontal="center" vertical="center"/>
    </xf>
    <xf numFmtId="164" fontId="30" fillId="7" borderId="9" xfId="0" applyNumberFormat="1" applyFont="1" applyFill="1" applyBorder="1" applyAlignment="1">
      <alignment horizontal="center" wrapText="1"/>
    </xf>
    <xf numFmtId="1" fontId="6" fillId="7" borderId="5" xfId="0" applyNumberFormat="1" applyFont="1" applyFill="1" applyBorder="1" applyAlignment="1">
      <alignment horizontal="center" vertical="center"/>
    </xf>
    <xf numFmtId="1" fontId="6" fillId="7" borderId="12" xfId="0" applyNumberFormat="1" applyFont="1" applyFill="1" applyBorder="1" applyAlignment="1">
      <alignment horizontal="center" vertical="center"/>
    </xf>
    <xf numFmtId="0" fontId="24" fillId="0" borderId="12" xfId="0" quotePrefix="1" applyFont="1" applyBorder="1" applyAlignment="1">
      <alignment horizontal="right" vertical="top"/>
    </xf>
    <xf numFmtId="164" fontId="5" fillId="0" borderId="11" xfId="0" applyNumberFormat="1" applyFont="1" applyFill="1" applyBorder="1" applyAlignment="1">
      <alignment horizontal="right" vertical="center"/>
    </xf>
    <xf numFmtId="170" fontId="9" fillId="0" borderId="40" xfId="0" applyNumberFormat="1" applyFont="1" applyFill="1" applyBorder="1" applyAlignment="1">
      <alignment horizontal="center"/>
    </xf>
    <xf numFmtId="170" fontId="9" fillId="0" borderId="41" xfId="0" applyNumberFormat="1" applyFont="1" applyFill="1" applyBorder="1" applyAlignment="1">
      <alignment horizontal="center"/>
    </xf>
    <xf numFmtId="166" fontId="9" fillId="0" borderId="0" xfId="0" applyNumberFormat="1" applyFont="1" applyFill="1" applyBorder="1"/>
    <xf numFmtId="164" fontId="0" fillId="0" borderId="0" xfId="0" applyNumberFormat="1" applyBorder="1"/>
    <xf numFmtId="2" fontId="5" fillId="0" borderId="10" xfId="0" applyNumberFormat="1" applyFont="1" applyFill="1" applyBorder="1" applyAlignment="1">
      <alignment vertical="center"/>
    </xf>
    <xf numFmtId="1" fontId="6" fillId="0" borderId="15" xfId="0" applyNumberFormat="1" applyFont="1" applyFill="1" applyBorder="1" applyAlignment="1">
      <alignment horizontal="center" vertical="center"/>
    </xf>
    <xf numFmtId="0" fontId="6" fillId="0" borderId="0" xfId="0" applyFont="1" applyBorder="1" applyAlignment="1">
      <alignment horizontal="center"/>
    </xf>
    <xf numFmtId="164" fontId="7" fillId="0" borderId="37" xfId="0" applyNumberFormat="1" applyFont="1" applyBorder="1" applyAlignment="1">
      <alignment horizontal="right" vertical="center"/>
    </xf>
    <xf numFmtId="164" fontId="5" fillId="0" borderId="21" xfId="0" applyNumberFormat="1" applyFont="1" applyBorder="1" applyAlignment="1">
      <alignment horizontal="right" vertical="center"/>
    </xf>
    <xf numFmtId="0" fontId="9" fillId="0" borderId="5" xfId="0" applyFont="1" applyFill="1" applyBorder="1" applyAlignment="1">
      <alignment horizontal="left" vertical="top" wrapText="1"/>
    </xf>
    <xf numFmtId="0" fontId="6" fillId="0" borderId="0" xfId="0" applyFont="1" applyBorder="1"/>
    <xf numFmtId="49" fontId="5" fillId="0" borderId="0" xfId="0" applyNumberFormat="1" applyFont="1" applyBorder="1" applyAlignment="1">
      <alignment vertical="top" wrapText="1"/>
    </xf>
    <xf numFmtId="0" fontId="9" fillId="0" borderId="15" xfId="0" applyFont="1" applyFill="1" applyBorder="1" applyAlignment="1">
      <alignment horizontal="left" vertical="top" wrapText="1"/>
    </xf>
    <xf numFmtId="0" fontId="9" fillId="0" borderId="13" xfId="0" applyFont="1" applyFill="1" applyBorder="1" applyAlignment="1">
      <alignment horizontal="left" vertical="top" wrapText="1"/>
    </xf>
    <xf numFmtId="164" fontId="7" fillId="0" borderId="0" xfId="0" quotePrefix="1" applyNumberFormat="1" applyFont="1" applyFill="1" applyBorder="1" applyAlignment="1">
      <alignment vertical="center"/>
    </xf>
    <xf numFmtId="2" fontId="5" fillId="0" borderId="3" xfId="0" applyNumberFormat="1" applyFont="1" applyFill="1" applyBorder="1" applyAlignment="1">
      <alignment vertical="center"/>
    </xf>
    <xf numFmtId="1" fontId="6" fillId="0" borderId="31" xfId="0" applyNumberFormat="1" applyFont="1" applyFill="1" applyBorder="1" applyAlignment="1">
      <alignment horizontal="center" vertical="center"/>
    </xf>
    <xf numFmtId="1" fontId="6" fillId="0" borderId="32" xfId="0" applyNumberFormat="1" applyFont="1" applyFill="1" applyBorder="1" applyAlignment="1">
      <alignment horizontal="center" vertical="center"/>
    </xf>
    <xf numFmtId="1" fontId="6" fillId="0" borderId="10" xfId="0" applyNumberFormat="1" applyFont="1" applyFill="1" applyBorder="1" applyAlignment="1">
      <alignment horizontal="center" vertical="center"/>
    </xf>
    <xf numFmtId="164" fontId="7" fillId="0" borderId="13" xfId="0" quotePrefix="1" applyNumberFormat="1" applyFont="1" applyFill="1" applyBorder="1" applyAlignment="1">
      <alignment vertical="center"/>
    </xf>
    <xf numFmtId="164" fontId="7" fillId="0" borderId="3" xfId="0" quotePrefix="1" applyNumberFormat="1" applyFont="1" applyFill="1" applyBorder="1" applyAlignment="1">
      <alignment vertical="center"/>
    </xf>
    <xf numFmtId="164" fontId="19" fillId="6" borderId="14" xfId="0" applyNumberFormat="1" applyFont="1" applyFill="1" applyBorder="1" applyAlignment="1">
      <alignment horizontal="right" vertical="center"/>
    </xf>
    <xf numFmtId="170" fontId="6" fillId="6" borderId="33" xfId="0" applyNumberFormat="1" applyFont="1" applyFill="1" applyBorder="1" applyAlignment="1">
      <alignment horizontal="right" vertical="center"/>
    </xf>
    <xf numFmtId="169" fontId="7" fillId="0" borderId="15" xfId="0" applyNumberFormat="1" applyFont="1" applyFill="1" applyBorder="1" applyAlignment="1">
      <alignment horizontal="right" vertical="center"/>
    </xf>
    <xf numFmtId="164" fontId="6" fillId="42" borderId="6" xfId="0" applyNumberFormat="1" applyFont="1" applyFill="1" applyBorder="1" applyAlignment="1">
      <alignment horizontal="center" vertical="center"/>
    </xf>
    <xf numFmtId="164" fontId="5" fillId="0" borderId="0" xfId="0" applyNumberFormat="1" applyFont="1" applyFill="1" applyBorder="1" applyAlignment="1">
      <alignment horizontal="right" vertical="center" wrapText="1"/>
    </xf>
    <xf numFmtId="164" fontId="7" fillId="42" borderId="20" xfId="0" applyNumberFormat="1" applyFont="1" applyFill="1" applyBorder="1" applyAlignment="1">
      <alignment horizontal="right" vertical="center"/>
    </xf>
    <xf numFmtId="164" fontId="7" fillId="42" borderId="32" xfId="0" applyNumberFormat="1" applyFont="1" applyFill="1" applyBorder="1" applyAlignment="1">
      <alignment horizontal="right" vertical="center"/>
    </xf>
    <xf numFmtId="164" fontId="5" fillId="42" borderId="32" xfId="0" applyNumberFormat="1" applyFont="1" applyFill="1" applyBorder="1" applyAlignment="1">
      <alignment horizontal="right" vertical="center"/>
    </xf>
    <xf numFmtId="164" fontId="19" fillId="42" borderId="32" xfId="0" applyNumberFormat="1" applyFont="1" applyFill="1" applyBorder="1" applyAlignment="1">
      <alignment horizontal="right" vertical="center"/>
    </xf>
    <xf numFmtId="0" fontId="5" fillId="0" borderId="0" xfId="0" applyFont="1" applyFill="1"/>
    <xf numFmtId="2" fontId="5" fillId="0" borderId="6" xfId="0" applyNumberFormat="1" applyFont="1" applyFill="1" applyBorder="1" applyAlignment="1">
      <alignment horizontal="right" vertical="center"/>
    </xf>
    <xf numFmtId="0" fontId="24" fillId="0" borderId="0" xfId="0" applyFont="1" applyBorder="1" applyAlignment="1">
      <alignment horizontal="center" vertical="top" wrapText="1"/>
    </xf>
    <xf numFmtId="0" fontId="23" fillId="0" borderId="0" xfId="0" applyFont="1" applyBorder="1" applyAlignment="1">
      <alignment horizontal="center" vertical="center" wrapText="1"/>
    </xf>
    <xf numFmtId="0" fontId="7" fillId="0" borderId="0" xfId="0" quotePrefix="1" applyFont="1" applyFill="1" applyBorder="1" applyAlignment="1">
      <alignment horizontal="left" vertical="top" wrapText="1"/>
    </xf>
    <xf numFmtId="164" fontId="6" fillId="6" borderId="7" xfId="0" applyNumberFormat="1" applyFont="1" applyFill="1" applyBorder="1" applyAlignment="1">
      <alignment horizontal="center" vertical="center"/>
    </xf>
    <xf numFmtId="164" fontId="19" fillId="6" borderId="9" xfId="0" applyNumberFormat="1" applyFont="1" applyFill="1" applyBorder="1" applyAlignment="1">
      <alignment horizontal="right" vertical="center"/>
    </xf>
    <xf numFmtId="164" fontId="5" fillId="0" borderId="14" xfId="0" applyNumberFormat="1" applyFont="1" applyFill="1" applyBorder="1" applyAlignment="1">
      <alignment horizontal="right" vertical="center"/>
    </xf>
    <xf numFmtId="164" fontId="7" fillId="0" borderId="12" xfId="0" applyNumberFormat="1" applyFont="1" applyFill="1" applyBorder="1" applyAlignment="1">
      <alignment horizontal="right" vertical="center"/>
    </xf>
    <xf numFmtId="164" fontId="19" fillId="0" borderId="8" xfId="0" applyNumberFormat="1" applyFont="1" applyBorder="1" applyAlignment="1">
      <alignment horizontal="right" vertical="center"/>
    </xf>
    <xf numFmtId="164" fontId="6" fillId="41" borderId="6" xfId="0" applyNumberFormat="1" applyFont="1" applyFill="1" applyBorder="1" applyAlignment="1">
      <alignment horizontal="center" vertical="center"/>
    </xf>
    <xf numFmtId="164" fontId="6" fillId="42" borderId="18" xfId="0" applyNumberFormat="1" applyFont="1" applyFill="1" applyBorder="1" applyAlignment="1">
      <alignment horizontal="center" vertical="center"/>
    </xf>
    <xf numFmtId="164" fontId="7" fillId="0" borderId="14" xfId="0" quotePrefix="1" applyNumberFormat="1" applyFont="1" applyFill="1" applyBorder="1" applyAlignment="1">
      <alignment vertical="center"/>
    </xf>
    <xf numFmtId="164" fontId="19" fillId="0" borderId="29" xfId="53" applyNumberFormat="1" applyFont="1" applyFill="1" applyBorder="1" applyAlignment="1">
      <alignment horizontal="right" vertical="center"/>
    </xf>
    <xf numFmtId="164" fontId="19" fillId="0" borderId="51" xfId="0" applyNumberFormat="1" applyFont="1" applyFill="1" applyBorder="1" applyAlignment="1">
      <alignment horizontal="right" vertical="center"/>
    </xf>
    <xf numFmtId="170" fontId="0" fillId="0" borderId="0" xfId="0" applyNumberFormat="1"/>
    <xf numFmtId="0" fontId="30" fillId="6" borderId="7" xfId="0" applyFont="1" applyFill="1" applyBorder="1" applyAlignment="1">
      <alignment horizontal="center" vertical="center"/>
    </xf>
    <xf numFmtId="164" fontId="6" fillId="42" borderId="8" xfId="0" applyNumberFormat="1" applyFont="1" applyFill="1" applyBorder="1" applyAlignment="1">
      <alignment horizontal="center" vertical="center"/>
    </xf>
    <xf numFmtId="164" fontId="19" fillId="0" borderId="13" xfId="0" applyNumberFormat="1" applyFont="1" applyBorder="1" applyAlignment="1">
      <alignment horizontal="right" vertical="center"/>
    </xf>
    <xf numFmtId="164" fontId="19" fillId="0" borderId="3" xfId="0" applyNumberFormat="1" applyFont="1" applyBorder="1" applyAlignment="1">
      <alignment horizontal="right" vertical="center"/>
    </xf>
    <xf numFmtId="164" fontId="19" fillId="0" borderId="10" xfId="0" applyNumberFormat="1" applyFont="1" applyBorder="1" applyAlignment="1">
      <alignment horizontal="right" vertical="center"/>
    </xf>
    <xf numFmtId="164" fontId="19" fillId="6" borderId="13" xfId="0" applyNumberFormat="1" applyFont="1" applyFill="1" applyBorder="1" applyAlignment="1">
      <alignment horizontal="right" vertical="center"/>
    </xf>
    <xf numFmtId="164" fontId="19" fillId="6" borderId="3" xfId="0" applyNumberFormat="1" applyFont="1" applyFill="1" applyBorder="1" applyAlignment="1">
      <alignment horizontal="right" vertical="center"/>
    </xf>
    <xf numFmtId="164" fontId="5" fillId="0" borderId="3" xfId="0" applyNumberFormat="1" applyFont="1" applyFill="1" applyBorder="1" applyAlignment="1">
      <alignment horizontal="center" vertical="center"/>
    </xf>
    <xf numFmtId="0" fontId="24" fillId="0" borderId="0" xfId="0" applyFont="1" applyBorder="1" applyAlignment="1">
      <alignment horizontal="center" vertical="top" wrapText="1"/>
    </xf>
    <xf numFmtId="0" fontId="23" fillId="0" borderId="0" xfId="0" applyFont="1" applyBorder="1" applyAlignment="1">
      <alignment horizontal="center" vertical="center" wrapText="1"/>
    </xf>
    <xf numFmtId="0" fontId="7" fillId="0" borderId="0" xfId="0" quotePrefix="1" applyFont="1" applyFill="1" applyBorder="1" applyAlignment="1">
      <alignment horizontal="left" vertical="top" wrapText="1"/>
    </xf>
    <xf numFmtId="170" fontId="5" fillId="0" borderId="3" xfId="0" applyNumberFormat="1" applyFont="1" applyFill="1" applyBorder="1" applyAlignment="1">
      <alignment horizontal="center"/>
    </xf>
    <xf numFmtId="164" fontId="19" fillId="0" borderId="13"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166" fontId="19" fillId="0" borderId="3" xfId="0" applyNumberFormat="1" applyFont="1" applyFill="1" applyBorder="1" applyAlignment="1">
      <alignment horizontal="right"/>
    </xf>
    <xf numFmtId="166" fontId="19" fillId="0" borderId="10" xfId="0" applyNumberFormat="1" applyFont="1" applyFill="1" applyBorder="1" applyAlignment="1">
      <alignment horizontal="right"/>
    </xf>
    <xf numFmtId="1" fontId="6" fillId="7" borderId="8" xfId="0" applyNumberFormat="1" applyFont="1" applyFill="1" applyBorder="1" applyAlignment="1">
      <alignment horizontal="center"/>
    </xf>
    <xf numFmtId="164" fontId="19" fillId="6" borderId="8" xfId="0" applyNumberFormat="1" applyFont="1" applyFill="1" applyBorder="1" applyAlignment="1">
      <alignment horizontal="center" vertical="center"/>
    </xf>
    <xf numFmtId="164" fontId="5" fillId="6" borderId="0" xfId="0" applyNumberFormat="1" applyFont="1" applyFill="1" applyBorder="1" applyAlignment="1">
      <alignment horizontal="center" vertical="center"/>
    </xf>
    <xf numFmtId="170" fontId="6" fillId="6" borderId="32" xfId="0" applyNumberFormat="1" applyFont="1" applyFill="1" applyBorder="1" applyAlignment="1">
      <alignment horizontal="center" vertical="center"/>
    </xf>
    <xf numFmtId="170" fontId="6" fillId="6" borderId="33" xfId="0" applyNumberFormat="1" applyFont="1" applyFill="1" applyBorder="1" applyAlignment="1">
      <alignment horizontal="center" vertical="center"/>
    </xf>
    <xf numFmtId="164" fontId="6" fillId="0" borderId="0" xfId="0" applyNumberFormat="1" applyFont="1" applyBorder="1" applyAlignment="1">
      <alignment horizontal="center" vertical="center"/>
    </xf>
    <xf numFmtId="164" fontId="6" fillId="6" borderId="0" xfId="0" applyNumberFormat="1" applyFont="1" applyFill="1" applyBorder="1" applyAlignment="1">
      <alignment horizontal="center" vertical="center"/>
    </xf>
    <xf numFmtId="164" fontId="20" fillId="6" borderId="0" xfId="0" applyNumberFormat="1" applyFont="1" applyFill="1" applyBorder="1" applyAlignment="1">
      <alignment horizontal="center" vertical="center"/>
    </xf>
    <xf numFmtId="164" fontId="6" fillId="0" borderId="3" xfId="0" applyNumberFormat="1" applyFont="1" applyBorder="1" applyAlignment="1">
      <alignment horizontal="center" vertical="center"/>
    </xf>
    <xf numFmtId="164" fontId="6" fillId="42" borderId="0"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164" fontId="19" fillId="6" borderId="12" xfId="0" applyNumberFormat="1" applyFont="1" applyFill="1" applyBorder="1" applyAlignment="1">
      <alignment horizontal="right" vertical="center"/>
    </xf>
    <xf numFmtId="164" fontId="5" fillId="6" borderId="9" xfId="0" applyNumberFormat="1" applyFont="1" applyFill="1" applyBorder="1" applyAlignment="1">
      <alignment horizontal="right" vertical="center"/>
    </xf>
    <xf numFmtId="164" fontId="5" fillId="0" borderId="8" xfId="0" applyNumberFormat="1" applyFont="1" applyBorder="1" applyAlignment="1">
      <alignment horizontal="center" vertical="center"/>
    </xf>
    <xf numFmtId="164" fontId="5" fillId="6" borderId="8" xfId="0" applyNumberFormat="1" applyFont="1" applyFill="1" applyBorder="1" applyAlignment="1">
      <alignment horizontal="center" vertical="center"/>
    </xf>
    <xf numFmtId="164" fontId="5" fillId="41" borderId="10" xfId="0" applyNumberFormat="1" applyFont="1" applyFill="1" applyBorder="1" applyAlignment="1">
      <alignment horizontal="right" vertical="center"/>
    </xf>
    <xf numFmtId="166" fontId="19" fillId="0" borderId="0" xfId="0" applyNumberFormat="1" applyFont="1" applyFill="1" applyBorder="1" applyAlignment="1">
      <alignment horizontal="right"/>
    </xf>
    <xf numFmtId="166" fontId="19" fillId="0" borderId="8" xfId="0" applyNumberFormat="1" applyFont="1" applyFill="1" applyBorder="1" applyAlignment="1">
      <alignment horizontal="right"/>
    </xf>
    <xf numFmtId="0" fontId="30" fillId="6" borderId="8" xfId="0"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20" fillId="6" borderId="18" xfId="0" applyNumberFormat="1" applyFont="1" applyFill="1" applyBorder="1" applyAlignment="1">
      <alignment horizontal="right" vertical="center"/>
    </xf>
    <xf numFmtId="164" fontId="20" fillId="6" borderId="7" xfId="0" applyNumberFormat="1" applyFont="1" applyFill="1" applyBorder="1" applyAlignment="1">
      <alignment horizontal="right" vertical="center"/>
    </xf>
    <xf numFmtId="0" fontId="6" fillId="7" borderId="12" xfId="0" applyFont="1" applyFill="1" applyBorder="1" applyAlignment="1">
      <alignment horizontal="center" vertical="center" wrapText="1"/>
    </xf>
    <xf numFmtId="0" fontId="6" fillId="7" borderId="9" xfId="0" applyFont="1" applyFill="1" applyBorder="1" applyAlignment="1">
      <alignment horizontal="center" vertical="center" wrapText="1"/>
    </xf>
    <xf numFmtId="164" fontId="5" fillId="0" borderId="0" xfId="0" applyNumberFormat="1" applyFont="1" applyBorder="1" applyAlignment="1">
      <alignment horizontal="center" vertical="center"/>
    </xf>
    <xf numFmtId="164" fontId="6" fillId="41" borderId="8" xfId="0" applyNumberFormat="1" applyFont="1" applyFill="1" applyBorder="1" applyAlignment="1">
      <alignment horizontal="center" vertical="center"/>
    </xf>
    <xf numFmtId="164" fontId="6" fillId="42" borderId="33" xfId="0" applyNumberFormat="1" applyFont="1" applyFill="1" applyBorder="1" applyAlignment="1">
      <alignment horizontal="center" vertical="center"/>
    </xf>
    <xf numFmtId="164" fontId="19" fillId="42" borderId="33" xfId="0" applyNumberFormat="1" applyFont="1" applyFill="1" applyBorder="1" applyAlignment="1">
      <alignment horizontal="right" vertical="center"/>
    </xf>
    <xf numFmtId="164" fontId="5" fillId="0" borderId="9" xfId="0" applyNumberFormat="1" applyFont="1" applyBorder="1" applyAlignment="1">
      <alignment horizontal="right" vertical="center"/>
    </xf>
    <xf numFmtId="170" fontId="7" fillId="0" borderId="29" xfId="0" applyNumberFormat="1" applyFont="1" applyFill="1" applyBorder="1" applyAlignment="1">
      <alignment horizontal="center" vertical="center"/>
    </xf>
    <xf numFmtId="164" fontId="19" fillId="0" borderId="8" xfId="0" applyNumberFormat="1" applyFont="1" applyFill="1" applyBorder="1" applyAlignment="1">
      <alignment horizontal="center" vertical="center"/>
    </xf>
    <xf numFmtId="164" fontId="19" fillId="0" borderId="10" xfId="0" applyNumberFormat="1" applyFont="1" applyFill="1" applyBorder="1" applyAlignment="1">
      <alignment horizontal="center" vertical="center"/>
    </xf>
    <xf numFmtId="164" fontId="7" fillId="0" borderId="8" xfId="0" applyNumberFormat="1" applyFont="1" applyFill="1" applyBorder="1" applyAlignment="1">
      <alignment horizontal="center" vertical="center"/>
    </xf>
    <xf numFmtId="164" fontId="19" fillId="0" borderId="7" xfId="0" applyNumberFormat="1" applyFont="1" applyFill="1" applyBorder="1" applyAlignment="1">
      <alignment horizontal="center" vertical="center"/>
    </xf>
    <xf numFmtId="170" fontId="6" fillId="0" borderId="6" xfId="0" applyNumberFormat="1" applyFont="1" applyFill="1" applyBorder="1" applyAlignment="1">
      <alignment horizontal="center"/>
    </xf>
    <xf numFmtId="170" fontId="6" fillId="0" borderId="10" xfId="0" applyNumberFormat="1" applyFont="1" applyFill="1" applyBorder="1" applyAlignment="1">
      <alignment horizontal="center"/>
    </xf>
    <xf numFmtId="167" fontId="28" fillId="0" borderId="32" xfId="0" applyNumberFormat="1" applyFont="1" applyFill="1" applyBorder="1" applyAlignment="1">
      <alignment horizontal="right" vertical="center"/>
    </xf>
    <xf numFmtId="0" fontId="9" fillId="6" borderId="13" xfId="0" applyFont="1" applyFill="1" applyBorder="1" applyAlignment="1">
      <alignment horizontal="center" vertical="center"/>
    </xf>
    <xf numFmtId="0" fontId="6" fillId="7" borderId="15" xfId="0" applyFont="1" applyFill="1" applyBorder="1" applyAlignment="1">
      <alignment horizontal="center" vertical="center" wrapText="1"/>
    </xf>
    <xf numFmtId="2" fontId="6" fillId="6" borderId="18" xfId="0" applyNumberFormat="1"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6" borderId="6" xfId="0" applyNumberFormat="1" applyFont="1" applyFill="1" applyBorder="1" applyAlignment="1">
      <alignment horizontal="center" vertical="center"/>
    </xf>
    <xf numFmtId="2" fontId="6" fillId="42" borderId="6" xfId="0" applyNumberFormat="1" applyFont="1" applyFill="1" applyBorder="1" applyAlignment="1">
      <alignment horizontal="center" vertical="center"/>
    </xf>
    <xf numFmtId="2" fontId="6" fillId="0" borderId="7" xfId="0" applyNumberFormat="1" applyFont="1" applyFill="1" applyBorder="1" applyAlignment="1">
      <alignment horizontal="center" vertical="center"/>
    </xf>
    <xf numFmtId="164" fontId="67" fillId="0" borderId="0" xfId="0" applyNumberFormat="1" applyFont="1" applyAlignment="1">
      <alignment horizontal="center"/>
    </xf>
    <xf numFmtId="0" fontId="68" fillId="0" borderId="0" xfId="0" applyFont="1" applyAlignment="1">
      <alignment vertical="center"/>
    </xf>
    <xf numFmtId="164" fontId="68" fillId="0" borderId="0" xfId="0" applyNumberFormat="1" applyFont="1" applyAlignment="1">
      <alignment horizontal="center"/>
    </xf>
    <xf numFmtId="164" fontId="65" fillId="0" borderId="12" xfId="0" applyNumberFormat="1" applyFont="1" applyFill="1" applyBorder="1" applyAlignment="1">
      <alignment horizontal="right" vertical="center"/>
    </xf>
    <xf numFmtId="164" fontId="5" fillId="0" borderId="0" xfId="0" applyNumberFormat="1" applyFont="1" applyFill="1" applyBorder="1"/>
    <xf numFmtId="164" fontId="9" fillId="0" borderId="0" xfId="0" applyNumberFormat="1" applyFont="1" applyBorder="1"/>
    <xf numFmtId="164" fontId="5" fillId="0" borderId="12" xfId="0" applyNumberFormat="1" applyFont="1" applyFill="1" applyBorder="1" applyAlignment="1">
      <alignment horizontal="right" vertical="center" wrapText="1"/>
    </xf>
    <xf numFmtId="164" fontId="69" fillId="0" borderId="0" xfId="0" quotePrefix="1" applyNumberFormat="1" applyFont="1" applyFill="1" applyBorder="1" applyAlignment="1">
      <alignment vertical="center"/>
    </xf>
    <xf numFmtId="164" fontId="5" fillId="0" borderId="9" xfId="0" applyNumberFormat="1" applyFont="1" applyFill="1" applyBorder="1" applyAlignment="1">
      <alignment horizontal="right" vertical="center" wrapText="1"/>
    </xf>
    <xf numFmtId="164" fontId="19" fillId="6" borderId="5" xfId="0" applyNumberFormat="1" applyFont="1" applyFill="1" applyBorder="1" applyAlignment="1">
      <alignment horizontal="right" vertical="center"/>
    </xf>
    <xf numFmtId="164" fontId="7" fillId="0" borderId="9" xfId="0" applyNumberFormat="1" applyFont="1" applyFill="1" applyBorder="1" applyAlignment="1">
      <alignment horizontal="right" vertical="center"/>
    </xf>
    <xf numFmtId="164" fontId="5" fillId="0" borderId="10" xfId="0" applyNumberFormat="1" applyFont="1" applyBorder="1" applyAlignment="1">
      <alignment horizontal="right" vertical="center"/>
    </xf>
    <xf numFmtId="164" fontId="5" fillId="0" borderId="3" xfId="0" applyNumberFormat="1" applyFont="1" applyBorder="1" applyAlignment="1">
      <alignment horizontal="center" vertical="center"/>
    </xf>
    <xf numFmtId="164" fontId="6" fillId="41" borderId="7" xfId="0" applyNumberFormat="1" applyFont="1" applyFill="1" applyBorder="1" applyAlignment="1">
      <alignment horizontal="center" vertical="center"/>
    </xf>
    <xf numFmtId="164" fontId="5" fillId="0" borderId="5" xfId="0" applyNumberFormat="1" applyFont="1" applyBorder="1" applyAlignment="1">
      <alignment horizontal="center" vertical="center"/>
    </xf>
    <xf numFmtId="164" fontId="5" fillId="0" borderId="6" xfId="0" applyNumberFormat="1" applyFont="1" applyBorder="1" applyAlignment="1">
      <alignment horizontal="center" vertical="center"/>
    </xf>
    <xf numFmtId="164" fontId="27" fillId="0" borderId="0" xfId="0" applyNumberFormat="1" applyFont="1"/>
    <xf numFmtId="0" fontId="23" fillId="0" borderId="15" xfId="0" applyFont="1" applyBorder="1" applyAlignment="1">
      <alignment horizontal="center"/>
    </xf>
    <xf numFmtId="0" fontId="0" fillId="0" borderId="15" xfId="0" applyBorder="1" applyAlignment="1">
      <alignment vertical="center"/>
    </xf>
    <xf numFmtId="0" fontId="26" fillId="0" borderId="15" xfId="0" applyFont="1" applyBorder="1" applyAlignment="1">
      <alignment vertical="center"/>
    </xf>
    <xf numFmtId="164" fontId="13" fillId="0" borderId="0" xfId="0" applyNumberFormat="1" applyFont="1" applyAlignment="1">
      <alignment horizontal="center"/>
    </xf>
    <xf numFmtId="164" fontId="6" fillId="0" borderId="0" xfId="0" applyNumberFormat="1" applyFont="1" applyAlignment="1">
      <alignment horizontal="center"/>
    </xf>
    <xf numFmtId="164" fontId="6" fillId="7" borderId="8" xfId="0" applyNumberFormat="1" applyFont="1" applyFill="1" applyBorder="1" applyAlignment="1">
      <alignment horizontal="center" vertical="top"/>
    </xf>
    <xf numFmtId="164" fontId="6" fillId="0" borderId="8" xfId="0" applyNumberFormat="1" applyFont="1" applyBorder="1" applyAlignment="1">
      <alignment horizontal="center" vertical="center"/>
    </xf>
    <xf numFmtId="164" fontId="6" fillId="41" borderId="3"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0" borderId="0" xfId="0" applyNumberFormat="1" applyFont="1" applyAlignment="1">
      <alignment horizontal="center" vertical="top"/>
    </xf>
    <xf numFmtId="170" fontId="5" fillId="0" borderId="10" xfId="0" applyNumberFormat="1" applyFont="1" applyFill="1" applyBorder="1" applyAlignment="1">
      <alignment horizontal="center"/>
    </xf>
    <xf numFmtId="0" fontId="11" fillId="0" borderId="0" xfId="0" applyFont="1" applyAlignment="1">
      <alignment horizontal="center" vertical="center" wrapText="1"/>
    </xf>
    <xf numFmtId="0" fontId="4" fillId="0" borderId="0" xfId="0" applyFont="1" applyAlignment="1">
      <alignment horizontal="center" vertical="top" wrapText="1"/>
    </xf>
    <xf numFmtId="0" fontId="4" fillId="0" borderId="0" xfId="0" quotePrefix="1" applyNumberFormat="1"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0" xfId="0" applyAlignment="1">
      <alignment vertical="top" wrapText="1"/>
    </xf>
    <xf numFmtId="0" fontId="6" fillId="0" borderId="0" xfId="0" applyFont="1" applyAlignment="1">
      <alignment horizontal="left" vertical="top" wrapText="1"/>
    </xf>
    <xf numFmtId="0" fontId="5" fillId="0" borderId="0" xfId="0" quotePrefix="1" applyFont="1" applyAlignment="1">
      <alignment horizontal="left" vertical="top"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8" fillId="0" borderId="0" xfId="0" applyFont="1" applyBorder="1" applyAlignment="1">
      <alignment horizontal="center" vertical="top" wrapText="1"/>
    </xf>
    <xf numFmtId="0" fontId="23" fillId="0" borderId="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9" fillId="6" borderId="9"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Alignment="1">
      <alignment horizontal="center" vertical="center" wrapText="1"/>
    </xf>
    <xf numFmtId="0" fontId="13" fillId="0" borderId="0" xfId="0" applyFont="1" applyAlignment="1">
      <alignment horizontal="center" vertical="center"/>
    </xf>
    <xf numFmtId="0" fontId="2" fillId="0" borderId="0" xfId="0" applyFont="1" applyAlignment="1">
      <alignment horizontal="center" vertical="center"/>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24" fillId="0" borderId="0" xfId="0" applyFont="1" applyBorder="1" applyAlignment="1">
      <alignment horizontal="center" vertical="top" wrapText="1"/>
    </xf>
    <xf numFmtId="0" fontId="13" fillId="0" borderId="0" xfId="0" applyFont="1" applyBorder="1" applyAlignment="1">
      <alignment horizontal="center" vertical="center" wrapText="1"/>
    </xf>
    <xf numFmtId="0" fontId="23" fillId="0" borderId="0" xfId="0" applyFont="1" applyBorder="1" applyAlignment="1">
      <alignment horizontal="center" vertical="center" wrapText="1"/>
    </xf>
    <xf numFmtId="164" fontId="13" fillId="0" borderId="5" xfId="0" applyNumberFormat="1" applyFont="1" applyBorder="1" applyAlignment="1">
      <alignment horizontal="center" vertical="center" textRotation="90" wrapText="1"/>
    </xf>
    <xf numFmtId="164" fontId="13" fillId="0" borderId="6" xfId="0" applyNumberFormat="1" applyFont="1" applyBorder="1" applyAlignment="1">
      <alignment horizontal="center" vertical="center" textRotation="90" wrapText="1"/>
    </xf>
    <xf numFmtId="164" fontId="13" fillId="0" borderId="7" xfId="0" applyNumberFormat="1" applyFont="1" applyBorder="1" applyAlignment="1">
      <alignment horizontal="center" vertical="center" textRotation="90" wrapText="1"/>
    </xf>
    <xf numFmtId="0" fontId="6" fillId="0" borderId="0" xfId="0" applyFont="1" applyBorder="1" applyAlignment="1">
      <alignment horizontal="left" wrapText="1"/>
    </xf>
    <xf numFmtId="0" fontId="9" fillId="0" borderId="0" xfId="0" applyFont="1" applyBorder="1" applyAlignment="1">
      <alignment horizontal="left" wrapText="1"/>
    </xf>
    <xf numFmtId="0" fontId="7" fillId="0" borderId="3" xfId="0" applyFont="1" applyBorder="1" applyAlignment="1">
      <alignment horizontal="right" vertical="center"/>
    </xf>
    <xf numFmtId="0" fontId="7" fillId="0" borderId="0" xfId="0" quotePrefix="1" applyFont="1" applyFill="1" applyBorder="1" applyAlignment="1">
      <alignment horizontal="left" vertical="top" wrapText="1"/>
    </xf>
    <xf numFmtId="0" fontId="13" fillId="0" borderId="5" xfId="0" applyFont="1" applyBorder="1" applyAlignment="1">
      <alignment horizontal="center" vertical="center" textRotation="90" wrapText="1"/>
    </xf>
    <xf numFmtId="0" fontId="13" fillId="0" borderId="6" xfId="0" applyFont="1" applyBorder="1" applyAlignment="1">
      <alignment horizontal="center" vertical="center" textRotation="90" wrapText="1"/>
    </xf>
    <xf numFmtId="0" fontId="13" fillId="0" borderId="7" xfId="0" applyFont="1" applyBorder="1" applyAlignment="1">
      <alignment horizontal="center" vertical="center" textRotation="90" wrapText="1"/>
    </xf>
    <xf numFmtId="0" fontId="6" fillId="0" borderId="0" xfId="0" quotePrefix="1" applyFont="1" applyFill="1" applyBorder="1" applyAlignment="1">
      <alignment horizontal="left" wrapText="1"/>
    </xf>
    <xf numFmtId="0" fontId="9" fillId="0" borderId="0" xfId="0" quotePrefix="1" applyFont="1" applyFill="1" applyBorder="1" applyAlignment="1">
      <alignment horizontal="left" wrapText="1"/>
    </xf>
    <xf numFmtId="0" fontId="5" fillId="0" borderId="3" xfId="0" applyFont="1" applyBorder="1" applyAlignment="1">
      <alignment horizontal="right" vertical="center"/>
    </xf>
    <xf numFmtId="0" fontId="5" fillId="0" borderId="3" xfId="0" applyFont="1" applyBorder="1" applyAlignment="1">
      <alignment horizontal="right"/>
    </xf>
    <xf numFmtId="0" fontId="5" fillId="0" borderId="0" xfId="0" applyFont="1" applyAlignment="1">
      <alignment horizontal="center"/>
    </xf>
    <xf numFmtId="0" fontId="30" fillId="7" borderId="5" xfId="0" applyFont="1" applyFill="1" applyBorder="1" applyAlignment="1">
      <alignment horizontal="center" vertical="center" wrapText="1"/>
    </xf>
    <xf numFmtId="0" fontId="30" fillId="7" borderId="7" xfId="0" applyFont="1" applyFill="1" applyBorder="1" applyAlignment="1">
      <alignment horizontal="center" vertical="center" wrapText="1"/>
    </xf>
    <xf numFmtId="0" fontId="5" fillId="0" borderId="0" xfId="0" applyFont="1" applyAlignment="1">
      <alignment horizontal="left" vertical="top" wrapText="1"/>
    </xf>
    <xf numFmtId="0" fontId="24" fillId="0" borderId="0" xfId="0" applyFont="1" applyBorder="1" applyAlignment="1">
      <alignment horizontal="center" vertical="top"/>
    </xf>
    <xf numFmtId="0" fontId="6" fillId="0" borderId="12" xfId="0" quotePrefix="1" applyFont="1" applyFill="1" applyBorder="1" applyAlignment="1">
      <alignment wrapText="1"/>
    </xf>
    <xf numFmtId="0" fontId="9" fillId="0" borderId="12" xfId="0" quotePrefix="1" applyFont="1" applyFill="1" applyBorder="1" applyAlignment="1">
      <alignment wrapText="1"/>
    </xf>
    <xf numFmtId="0" fontId="8" fillId="0" borderId="0" xfId="0" applyFont="1" applyBorder="1" applyAlignment="1">
      <alignment horizontal="center" vertical="top"/>
    </xf>
    <xf numFmtId="49" fontId="6" fillId="0" borderId="0" xfId="0" applyNumberFormat="1" applyFont="1" applyBorder="1" applyAlignment="1">
      <alignment horizontal="left" wrapText="1"/>
    </xf>
    <xf numFmtId="0" fontId="6" fillId="0" borderId="12" xfId="0" applyFont="1" applyBorder="1" applyAlignment="1">
      <alignment wrapText="1"/>
    </xf>
    <xf numFmtId="0" fontId="8" fillId="0" borderId="0" xfId="0" applyNumberFormat="1" applyFont="1" applyBorder="1" applyAlignment="1">
      <alignment horizontal="center" vertical="top"/>
    </xf>
    <xf numFmtId="0" fontId="24" fillId="0" borderId="0" xfId="0" applyNumberFormat="1" applyFont="1" applyBorder="1" applyAlignment="1">
      <alignment horizontal="center" vertical="top"/>
    </xf>
    <xf numFmtId="0" fontId="6" fillId="0" borderId="0" xfId="0" applyFont="1" applyBorder="1" applyAlignment="1">
      <alignment horizontal="left"/>
    </xf>
    <xf numFmtId="0" fontId="9" fillId="0" borderId="0" xfId="0" applyFont="1" applyBorder="1" applyAlignment="1">
      <alignment horizontal="left"/>
    </xf>
    <xf numFmtId="0" fontId="6" fillId="7" borderId="5" xfId="0" applyFont="1" applyFill="1" applyBorder="1" applyAlignment="1">
      <alignment horizontal="center" vertical="top" wrapText="1"/>
    </xf>
    <xf numFmtId="0" fontId="0" fillId="7" borderId="7" xfId="0" applyFill="1" applyBorder="1" applyAlignment="1">
      <alignment horizontal="center" vertical="top" wrapText="1"/>
    </xf>
    <xf numFmtId="0" fontId="9" fillId="7" borderId="5" xfId="0" applyFont="1" applyFill="1" applyBorder="1" applyAlignment="1">
      <alignment horizontal="center" vertical="top" wrapText="1"/>
    </xf>
    <xf numFmtId="0" fontId="9" fillId="7" borderId="7" xfId="0" applyFont="1" applyFill="1" applyBorder="1" applyAlignment="1">
      <alignment horizontal="center" vertical="top" wrapText="1"/>
    </xf>
    <xf numFmtId="0" fontId="0" fillId="7" borderId="6" xfId="0" applyFill="1" applyBorder="1" applyAlignment="1">
      <alignment horizontal="center" vertical="top" wrapText="1"/>
    </xf>
    <xf numFmtId="0" fontId="9" fillId="7" borderId="11" xfId="0" applyFont="1" applyFill="1" applyBorder="1" applyAlignment="1">
      <alignment horizontal="center" vertical="top" wrapText="1"/>
    </xf>
    <xf numFmtId="0" fontId="9" fillId="7" borderId="15" xfId="0" applyFont="1" applyFill="1" applyBorder="1" applyAlignment="1">
      <alignment horizontal="center" vertical="top" wrapText="1"/>
    </xf>
    <xf numFmtId="0" fontId="1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Alignment="1">
      <alignment horizontal="center" vertical="top"/>
    </xf>
    <xf numFmtId="0" fontId="9" fillId="7" borderId="9" xfId="0" applyFont="1" applyFill="1" applyBorder="1" applyAlignment="1">
      <alignment horizontal="center" vertical="top" wrapText="1"/>
    </xf>
    <xf numFmtId="0" fontId="0" fillId="7" borderId="10" xfId="0" applyFill="1" applyBorder="1" applyAlignment="1">
      <alignment horizontal="center" vertical="top" wrapText="1"/>
    </xf>
    <xf numFmtId="0" fontId="6" fillId="0" borderId="0" xfId="0" applyFont="1" applyFill="1" applyBorder="1" applyAlignment="1">
      <alignment horizontal="left" wrapText="1"/>
    </xf>
    <xf numFmtId="0" fontId="5" fillId="0" borderId="0" xfId="0" applyFont="1" applyFill="1" applyBorder="1" applyAlignment="1">
      <alignment horizontal="left" wrapText="1"/>
    </xf>
  </cellXfs>
  <cellStyles count="124">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2" xfId="38" builtinId="36" customBuiltin="1"/>
    <cellStyle name="60% - Accent3" xfId="39" builtinId="40" customBuiltin="1"/>
    <cellStyle name="60% - Accent4" xfId="40" builtinId="44" customBuiltin="1"/>
    <cellStyle name="60% - Accent5" xfId="41" builtinId="48" customBuiltin="1"/>
    <cellStyle name="60% - Accent6" xfId="42" builtinId="52" customBuiltin="1"/>
    <cellStyle name="Accent1" xfId="43" builtinId="29" customBuiltin="1"/>
    <cellStyle name="Accent2" xfId="44" builtinId="33" customBuiltin="1"/>
    <cellStyle name="Accent3" xfId="45" builtinId="37" customBuiltin="1"/>
    <cellStyle name="Accent4" xfId="46" builtinId="41" customBuiltin="1"/>
    <cellStyle name="Accent5" xfId="47" builtinId="45" customBuiltin="1"/>
    <cellStyle name="Accent6" xfId="48" builtinId="49" customBuiltin="1"/>
    <cellStyle name="Bad" xfId="49" builtinId="27" customBuiltin="1"/>
    <cellStyle name="Calculation" xfId="50" builtinId="22" customBuiltin="1"/>
    <cellStyle name="Check Cell" xfId="51" builtinId="23" customBuiltin="1"/>
    <cellStyle name="Column heading" xfId="52"/>
    <cellStyle name="Comma" xfId="53" builtinId="3"/>
    <cellStyle name="Corner heading" xfId="54"/>
    <cellStyle name="Data" xfId="55"/>
    <cellStyle name="Data no deci" xfId="56"/>
    <cellStyle name="Data Superscript" xfId="57"/>
    <cellStyle name="Data_1-1A-Regular" xfId="58"/>
    <cellStyle name="Explanatory Text" xfId="59" builtinId="53" customBuiltin="1"/>
    <cellStyle name="Good" xfId="60" builtinId="26" customBuiltin="1"/>
    <cellStyle name="Heading 1" xfId="61" builtinId="16" customBuiltin="1"/>
    <cellStyle name="Heading 2" xfId="62" builtinId="17" customBuiltin="1"/>
    <cellStyle name="Heading 3" xfId="63" builtinId="18" customBuiltin="1"/>
    <cellStyle name="Heading 4" xfId="64" builtinId="19" customBuiltin="1"/>
    <cellStyle name="Hed Side" xfId="65"/>
    <cellStyle name="Hed Side bold" xfId="66"/>
    <cellStyle name="Hed Side Indent" xfId="67"/>
    <cellStyle name="Hed Side Regular" xfId="68"/>
    <cellStyle name="Hed Side_1-1A-Regular" xfId="69"/>
    <cellStyle name="Hed Top" xfId="70"/>
    <cellStyle name="Hed Top - SECTION" xfId="71"/>
    <cellStyle name="Hed Top_3-new4" xfId="72"/>
    <cellStyle name="Hyperlink 2" xfId="119"/>
    <cellStyle name="Input" xfId="73" builtinId="20" customBuiltin="1"/>
    <cellStyle name="Linked Cell" xfId="74" builtinId="24" customBuiltin="1"/>
    <cellStyle name="Milliers 2" xfId="121"/>
    <cellStyle name="Neutral" xfId="75" builtinId="28" customBuiltin="1"/>
    <cellStyle name="Normal" xfId="0" builtinId="0" customBuiltin="1"/>
    <cellStyle name="Normal 12" xfId="76"/>
    <cellStyle name="Normal 2" xfId="77"/>
    <cellStyle name="Normal 2 2" xfId="78"/>
    <cellStyle name="Normal 2 2 2" xfId="79"/>
    <cellStyle name="Normal 2 3" xfId="120"/>
    <cellStyle name="Normal 3" xfId="80"/>
    <cellStyle name="Normal 3 2" xfId="123"/>
    <cellStyle name="Normal 4" xfId="117"/>
    <cellStyle name="Normal 9" xfId="81"/>
    <cellStyle name="Note 2" xfId="82"/>
    <cellStyle name="Note 3" xfId="83"/>
    <cellStyle name="Note 4" xfId="84"/>
    <cellStyle name="NumberCellStyle" xfId="85"/>
    <cellStyle name="Output" xfId="86" builtinId="21" customBuiltin="1"/>
    <cellStyle name="Percent 2" xfId="118"/>
    <cellStyle name="Reference" xfId="87"/>
    <cellStyle name="Row heading" xfId="88"/>
    <cellStyle name="Source Hed" xfId="89"/>
    <cellStyle name="Source Letter" xfId="90"/>
    <cellStyle name="Source Superscript" xfId="91"/>
    <cellStyle name="Source Text" xfId="92"/>
    <cellStyle name="Standard 2" xfId="116"/>
    <cellStyle name="Standard 3" xfId="122"/>
    <cellStyle name="Standard_E00seit45" xfId="93"/>
    <cellStyle name="State" xfId="94"/>
    <cellStyle name="Superscript" xfId="95"/>
    <cellStyle name="Table Data" xfId="96"/>
    <cellStyle name="Table Head Top" xfId="97"/>
    <cellStyle name="Table Hed Side" xfId="98"/>
    <cellStyle name="Table Title" xfId="99"/>
    <cellStyle name="Title" xfId="100" builtinId="15" customBuiltin="1"/>
    <cellStyle name="Title 2" xfId="101"/>
    <cellStyle name="Title Text" xfId="102"/>
    <cellStyle name="Title Text 1" xfId="103"/>
    <cellStyle name="Title Text 2" xfId="104"/>
    <cellStyle name="Title-1" xfId="105"/>
    <cellStyle name="Title-2" xfId="106"/>
    <cellStyle name="Title-3" xfId="107"/>
    <cellStyle name="Titre ligne" xfId="108"/>
    <cellStyle name="Total" xfId="109" builtinId="25" customBuiltin="1"/>
    <cellStyle name="Total intermediaire" xfId="110"/>
    <cellStyle name="Warning Text" xfId="111" builtinId="11" customBuiltin="1"/>
    <cellStyle name="Wrap" xfId="112"/>
    <cellStyle name="Wrap Bold" xfId="113"/>
    <cellStyle name="Wrap Title" xfId="114"/>
    <cellStyle name="Wrap_NTS99-~11" xfId="11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FF9999"/>
      <color rgb="FFFF66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EU-27</a:t>
            </a:r>
          </a:p>
          <a:p>
            <a:pPr>
              <a:defRPr sz="12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 Performance by mode for freight transport</a:t>
            </a:r>
            <a:endParaRPr lang="en-US" sz="1525" b="1"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1995 - 2020</a:t>
            </a:r>
          </a:p>
          <a:p>
            <a:pPr>
              <a:defRPr sz="1200" b="0" i="0" u="none" strike="noStrike" baseline="0">
                <a:solidFill>
                  <a:srgbClr val="000000"/>
                </a:solidFill>
                <a:latin typeface="Arial"/>
                <a:ea typeface="Arial"/>
                <a:cs typeface="Arial"/>
              </a:defRPr>
            </a:pPr>
            <a:endParaRPr lang="en-US" sz="900" b="1"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725" b="1" i="0" u="none" strike="noStrike" baseline="0">
                <a:solidFill>
                  <a:srgbClr val="000000"/>
                </a:solidFill>
                <a:latin typeface="Arial"/>
                <a:cs typeface="Arial"/>
              </a:rPr>
              <a:t>billion tonne-kilometres</a:t>
            </a:r>
          </a:p>
        </c:rich>
      </c:tx>
      <c:layout>
        <c:manualLayout>
          <c:xMode val="edge"/>
          <c:yMode val="edge"/>
          <c:x val="0.22399994758591385"/>
          <c:y val="2.0450056730699595E-3"/>
        </c:manualLayout>
      </c:layout>
      <c:overlay val="0"/>
      <c:spPr>
        <a:noFill/>
        <a:ln w="25400">
          <a:noFill/>
        </a:ln>
      </c:spPr>
    </c:title>
    <c:autoTitleDeleted val="0"/>
    <c:plotArea>
      <c:layout>
        <c:manualLayout>
          <c:layoutTarget val="inner"/>
          <c:xMode val="edge"/>
          <c:yMode val="edge"/>
          <c:x val="4.1928543970591974E-2"/>
          <c:y val="0.15038858919972928"/>
          <c:w val="0.9072007087505537"/>
          <c:h val="0.73210780153174837"/>
        </c:manualLayout>
      </c:layout>
      <c:lineChart>
        <c:grouping val="standard"/>
        <c:varyColors val="0"/>
        <c:ser>
          <c:idx val="0"/>
          <c:order val="0"/>
          <c:tx>
            <c:strRef>
              <c:f>freight_graph!$B$38</c:f>
              <c:strCache>
                <c:ptCount val="1"/>
                <c:pt idx="0">
                  <c:v>Road</c:v>
                </c:pt>
              </c:strCache>
            </c:strRef>
          </c:tx>
          <c:spPr>
            <a:ln w="25400">
              <a:solidFill>
                <a:srgbClr val="993300"/>
              </a:solidFill>
              <a:prstDash val="solid"/>
            </a:ln>
          </c:spPr>
          <c:marker>
            <c:symbol val="x"/>
            <c:size val="5"/>
            <c:spPr>
              <a:solidFill>
                <a:srgbClr val="993300"/>
              </a:solidFill>
              <a:ln>
                <a:solidFill>
                  <a:srgbClr val="993300"/>
                </a:solidFill>
                <a:prstDash val="solid"/>
              </a:ln>
            </c:spPr>
          </c:marker>
          <c:cat>
            <c:numRef>
              <c:f>freight_graph!$C$37:$AB$37</c:f>
              <c:numCache>
                <c:formatCode>0</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freight_graph!$C$38:$AB$38</c:f>
              <c:numCache>
                <c:formatCode>0.0</c:formatCode>
                <c:ptCount val="26"/>
                <c:pt idx="0">
                  <c:v>1127.1600000000001</c:v>
                </c:pt>
                <c:pt idx="1">
                  <c:v>1136.3789999999997</c:v>
                </c:pt>
                <c:pt idx="2">
                  <c:v>1182.4780000000001</c:v>
                </c:pt>
                <c:pt idx="3">
                  <c:v>1242.2039999999997</c:v>
                </c:pt>
                <c:pt idx="4">
                  <c:v>1294.3619999999999</c:v>
                </c:pt>
                <c:pt idx="5">
                  <c:v>1343.867</c:v>
                </c:pt>
                <c:pt idx="6">
                  <c:v>1389.2530000000002</c:v>
                </c:pt>
                <c:pt idx="7">
                  <c:v>1438.8</c:v>
                </c:pt>
                <c:pt idx="8">
                  <c:v>1440.54</c:v>
                </c:pt>
                <c:pt idx="9">
                  <c:v>1588.2660000000001</c:v>
                </c:pt>
                <c:pt idx="10">
                  <c:v>1588.1540655743293</c:v>
                </c:pt>
                <c:pt idx="11">
                  <c:v>1638.7945822386714</c:v>
                </c:pt>
                <c:pt idx="12">
                  <c:v>1697.6440389755346</c:v>
                </c:pt>
                <c:pt idx="13">
                  <c:v>1676.4616408826394</c:v>
                </c:pt>
                <c:pt idx="14">
                  <c:v>1515.3165860635595</c:v>
                </c:pt>
                <c:pt idx="15">
                  <c:v>1558.2925344262567</c:v>
                </c:pt>
                <c:pt idx="16">
                  <c:v>1541.6311993737638</c:v>
                </c:pt>
                <c:pt idx="17">
                  <c:v>1481.6904120467425</c:v>
                </c:pt>
                <c:pt idx="18">
                  <c:v>1516.3640398284499</c:v>
                </c:pt>
                <c:pt idx="19">
                  <c:v>1527.4346235799926</c:v>
                </c:pt>
                <c:pt idx="20">
                  <c:v>1561.9876827709111</c:v>
                </c:pt>
                <c:pt idx="21">
                  <c:v>1619.7477300951773</c:v>
                </c:pt>
                <c:pt idx="22">
                  <c:v>1707.3138634168388</c:v>
                </c:pt>
                <c:pt idx="23">
                  <c:v>1707.4960000000001</c:v>
                </c:pt>
                <c:pt idx="24">
                  <c:v>1764.787</c:v>
                </c:pt>
                <c:pt idx="25">
                  <c:v>1744.9860000000001</c:v>
                </c:pt>
              </c:numCache>
            </c:numRef>
          </c:val>
          <c:smooth val="0"/>
          <c:extLst>
            <c:ext xmlns:c16="http://schemas.microsoft.com/office/drawing/2014/chart" uri="{C3380CC4-5D6E-409C-BE32-E72D297353CC}">
              <c16:uniqueId val="{00000000-867E-43BB-9682-34496CE99106}"/>
            </c:ext>
          </c:extLst>
        </c:ser>
        <c:ser>
          <c:idx val="4"/>
          <c:order val="1"/>
          <c:tx>
            <c:strRef>
              <c:f>freight_graph!$B$39</c:f>
              <c:strCache>
                <c:ptCount val="1"/>
                <c:pt idx="0">
                  <c:v>Sea</c:v>
                </c:pt>
              </c:strCache>
            </c:strRef>
          </c:tx>
          <c:spPr>
            <a:ln w="25400">
              <a:solidFill>
                <a:srgbClr val="0000FF"/>
              </a:solidFill>
              <a:prstDash val="solid"/>
            </a:ln>
          </c:spPr>
          <c:marker>
            <c:symbol val="triangle"/>
            <c:size val="6"/>
            <c:spPr>
              <a:solidFill>
                <a:srgbClr val="0000FF"/>
              </a:solidFill>
              <a:ln>
                <a:solidFill>
                  <a:srgbClr val="0000FF"/>
                </a:solidFill>
                <a:prstDash val="solid"/>
              </a:ln>
            </c:spPr>
          </c:marker>
          <c:cat>
            <c:numRef>
              <c:f>freight_graph!$C$37:$AB$37</c:f>
              <c:numCache>
                <c:formatCode>0</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freight_graph!$C$39:$AB$39</c:f>
              <c:numCache>
                <c:formatCode>0.0</c:formatCode>
                <c:ptCount val="26"/>
                <c:pt idx="0">
                  <c:v>676.52776233698114</c:v>
                </c:pt>
                <c:pt idx="1">
                  <c:v>684.79249939868953</c:v>
                </c:pt>
                <c:pt idx="2">
                  <c:v>704.27366532985911</c:v>
                </c:pt>
                <c:pt idx="3">
                  <c:v>727.29686143033223</c:v>
                </c:pt>
                <c:pt idx="4">
                  <c:v>748.54904244615363</c:v>
                </c:pt>
                <c:pt idx="5">
                  <c:v>775.70460707748077</c:v>
                </c:pt>
                <c:pt idx="6">
                  <c:v>787.51137430849258</c:v>
                </c:pt>
                <c:pt idx="7">
                  <c:v>799.90847990105499</c:v>
                </c:pt>
                <c:pt idx="8">
                  <c:v>813.48626221671861</c:v>
                </c:pt>
                <c:pt idx="9">
                  <c:v>842.4128419326978</c:v>
                </c:pt>
                <c:pt idx="10">
                  <c:v>844.47159043293618</c:v>
                </c:pt>
                <c:pt idx="11">
                  <c:v>842.96922864308556</c:v>
                </c:pt>
                <c:pt idx="12">
                  <c:v>842.92936030820431</c:v>
                </c:pt>
                <c:pt idx="13">
                  <c:v>841.12354145165079</c:v>
                </c:pt>
                <c:pt idx="14">
                  <c:v>769.75738605850768</c:v>
                </c:pt>
                <c:pt idx="15">
                  <c:v>834.1007088793217</c:v>
                </c:pt>
                <c:pt idx="16">
                  <c:v>850.14405701893202</c:v>
                </c:pt>
                <c:pt idx="17">
                  <c:v>838.4227312987116</c:v>
                </c:pt>
                <c:pt idx="18">
                  <c:v>850.98288633212314</c:v>
                </c:pt>
                <c:pt idx="19">
                  <c:v>875.1199084423539</c:v>
                </c:pt>
                <c:pt idx="20">
                  <c:v>870.77096504305496</c:v>
                </c:pt>
                <c:pt idx="21">
                  <c:v>909.32038268673398</c:v>
                </c:pt>
                <c:pt idx="22">
                  <c:v>916.98868892735209</c:v>
                </c:pt>
                <c:pt idx="23">
                  <c:v>976.97412232437159</c:v>
                </c:pt>
                <c:pt idx="24">
                  <c:v>979.0761622168684</c:v>
                </c:pt>
                <c:pt idx="25">
                  <c:v>924.28546977723113</c:v>
                </c:pt>
              </c:numCache>
            </c:numRef>
          </c:val>
          <c:smooth val="0"/>
          <c:extLst>
            <c:ext xmlns:c16="http://schemas.microsoft.com/office/drawing/2014/chart" uri="{C3380CC4-5D6E-409C-BE32-E72D297353CC}">
              <c16:uniqueId val="{00000001-867E-43BB-9682-34496CE99106}"/>
            </c:ext>
          </c:extLst>
        </c:ser>
        <c:ser>
          <c:idx val="1"/>
          <c:order val="2"/>
          <c:tx>
            <c:strRef>
              <c:f>freight_graph!$B$40</c:f>
              <c:strCache>
                <c:ptCount val="1"/>
                <c:pt idx="0">
                  <c:v>Rail</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numRef>
              <c:f>freight_graph!$C$37:$AB$37</c:f>
              <c:numCache>
                <c:formatCode>0</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freight_graph!$C$40:$AB$40</c:f>
              <c:numCache>
                <c:formatCode>0.0</c:formatCode>
                <c:ptCount val="26"/>
                <c:pt idx="0">
                  <c:v>374.81806800000004</c:v>
                </c:pt>
                <c:pt idx="1">
                  <c:v>378.76300000000009</c:v>
                </c:pt>
                <c:pt idx="2">
                  <c:v>394.35199999999992</c:v>
                </c:pt>
                <c:pt idx="3">
                  <c:v>377.03752500000002</c:v>
                </c:pt>
                <c:pt idx="4">
                  <c:v>367.11001500293986</c:v>
                </c:pt>
                <c:pt idx="5">
                  <c:v>387.9207546422241</c:v>
                </c:pt>
                <c:pt idx="6">
                  <c:v>369.25330225225701</c:v>
                </c:pt>
                <c:pt idx="7">
                  <c:v>368.16119255303101</c:v>
                </c:pt>
                <c:pt idx="8">
                  <c:v>376.30926875462399</c:v>
                </c:pt>
                <c:pt idx="9">
                  <c:v>390.03499999999997</c:v>
                </c:pt>
                <c:pt idx="10">
                  <c:v>394.59700000000004</c:v>
                </c:pt>
                <c:pt idx="11">
                  <c:v>416.24600000000004</c:v>
                </c:pt>
                <c:pt idx="12">
                  <c:v>430.72400000000005</c:v>
                </c:pt>
                <c:pt idx="13">
                  <c:v>421.68599999999992</c:v>
                </c:pt>
                <c:pt idx="14">
                  <c:v>344.36900000000003</c:v>
                </c:pt>
                <c:pt idx="15">
                  <c:v>374.95499999999998</c:v>
                </c:pt>
                <c:pt idx="16">
                  <c:v>401.12199999999984</c:v>
                </c:pt>
                <c:pt idx="17">
                  <c:v>385.18899999999996</c:v>
                </c:pt>
                <c:pt idx="18">
                  <c:v>384.31900000000007</c:v>
                </c:pt>
                <c:pt idx="19">
                  <c:v>388.93199999999996</c:v>
                </c:pt>
                <c:pt idx="20">
                  <c:v>398.51700000000011</c:v>
                </c:pt>
                <c:pt idx="21">
                  <c:v>407.45800000000008</c:v>
                </c:pt>
                <c:pt idx="22">
                  <c:v>411.27800000000002</c:v>
                </c:pt>
                <c:pt idx="23">
                  <c:v>418.31399999999996</c:v>
                </c:pt>
                <c:pt idx="24">
                  <c:v>407.92099999999999</c:v>
                </c:pt>
                <c:pt idx="25">
                  <c:v>377.30700000000007</c:v>
                </c:pt>
              </c:numCache>
            </c:numRef>
          </c:val>
          <c:smooth val="0"/>
          <c:extLst>
            <c:ext xmlns:c16="http://schemas.microsoft.com/office/drawing/2014/chart" uri="{C3380CC4-5D6E-409C-BE32-E72D297353CC}">
              <c16:uniqueId val="{00000002-867E-43BB-9682-34496CE99106}"/>
            </c:ext>
          </c:extLst>
        </c:ser>
        <c:ser>
          <c:idx val="2"/>
          <c:order val="3"/>
          <c:tx>
            <c:strRef>
              <c:f>freight_graph!$B$41</c:f>
              <c:strCache>
                <c:ptCount val="1"/>
                <c:pt idx="0">
                  <c:v>Inland Waterway</c:v>
                </c:pt>
              </c:strCache>
            </c:strRef>
          </c:tx>
          <c:spPr>
            <a:ln w="25400">
              <a:solidFill>
                <a:srgbClr val="00FF00"/>
              </a:solidFill>
              <a:prstDash val="solid"/>
            </a:ln>
          </c:spPr>
          <c:marker>
            <c:symbol val="star"/>
            <c:size val="10"/>
            <c:spPr>
              <a:noFill/>
              <a:ln>
                <a:solidFill>
                  <a:srgbClr val="00FF00"/>
                </a:solidFill>
                <a:prstDash val="solid"/>
              </a:ln>
            </c:spPr>
          </c:marker>
          <c:cat>
            <c:numRef>
              <c:f>freight_graph!$C$37:$AB$37</c:f>
              <c:numCache>
                <c:formatCode>0</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freight_graph!$C$41:$AB$41</c:f>
              <c:numCache>
                <c:formatCode>0.0</c:formatCode>
                <c:ptCount val="26"/>
                <c:pt idx="0">
                  <c:v>121.91820799999999</c:v>
                </c:pt>
                <c:pt idx="1">
                  <c:v>119.59849199999999</c:v>
                </c:pt>
                <c:pt idx="2">
                  <c:v>127.72012699999998</c:v>
                </c:pt>
                <c:pt idx="3">
                  <c:v>130.914354551</c:v>
                </c:pt>
                <c:pt idx="4">
                  <c:v>128.618899</c:v>
                </c:pt>
                <c:pt idx="5">
                  <c:v>133.7148856</c:v>
                </c:pt>
                <c:pt idx="6">
                  <c:v>132.4162436</c:v>
                </c:pt>
                <c:pt idx="7">
                  <c:v>132.41402299999999</c:v>
                </c:pt>
                <c:pt idx="8">
                  <c:v>123.43508519999999</c:v>
                </c:pt>
                <c:pt idx="9">
                  <c:v>136.76315100000005</c:v>
                </c:pt>
                <c:pt idx="10">
                  <c:v>138.61097439999998</c:v>
                </c:pt>
                <c:pt idx="11">
                  <c:v>138.41696909999999</c:v>
                </c:pt>
                <c:pt idx="12">
                  <c:v>145.40199999999999</c:v>
                </c:pt>
                <c:pt idx="13">
                  <c:v>146.90300000000002</c:v>
                </c:pt>
                <c:pt idx="14">
                  <c:v>132.60600000000002</c:v>
                </c:pt>
                <c:pt idx="15">
                  <c:v>155.36499999999998</c:v>
                </c:pt>
                <c:pt idx="16">
                  <c:v>141.82500000000002</c:v>
                </c:pt>
                <c:pt idx="17">
                  <c:v>149.822</c:v>
                </c:pt>
                <c:pt idx="18">
                  <c:v>152.58400000000003</c:v>
                </c:pt>
                <c:pt idx="19">
                  <c:v>150.70699999999997</c:v>
                </c:pt>
                <c:pt idx="20">
                  <c:v>147.35100000000003</c:v>
                </c:pt>
                <c:pt idx="21">
                  <c:v>146.60899999999995</c:v>
                </c:pt>
                <c:pt idx="22">
                  <c:v>147.22333333333333</c:v>
                </c:pt>
                <c:pt idx="23">
                  <c:v>131.30277777777778</c:v>
                </c:pt>
                <c:pt idx="24">
                  <c:v>139.69700000000003</c:v>
                </c:pt>
                <c:pt idx="25">
                  <c:v>131.74100000000001</c:v>
                </c:pt>
              </c:numCache>
            </c:numRef>
          </c:val>
          <c:smooth val="0"/>
          <c:extLst>
            <c:ext xmlns:c16="http://schemas.microsoft.com/office/drawing/2014/chart" uri="{C3380CC4-5D6E-409C-BE32-E72D297353CC}">
              <c16:uniqueId val="{00000003-867E-43BB-9682-34496CE99106}"/>
            </c:ext>
          </c:extLst>
        </c:ser>
        <c:ser>
          <c:idx val="3"/>
          <c:order val="4"/>
          <c:tx>
            <c:strRef>
              <c:f>freight_graph!$B$42</c:f>
              <c:strCache>
                <c:ptCount val="1"/>
                <c:pt idx="0">
                  <c:v>Oil Pipeline</c:v>
                </c:pt>
              </c:strCache>
            </c:strRef>
          </c:tx>
          <c:spPr>
            <a:ln w="25400">
              <a:solidFill>
                <a:srgbClr val="FF9999"/>
              </a:solidFill>
              <a:prstDash val="solid"/>
            </a:ln>
          </c:spPr>
          <c:marker>
            <c:symbol val="circle"/>
            <c:size val="5"/>
            <c:spPr>
              <a:noFill/>
              <a:ln>
                <a:solidFill>
                  <a:srgbClr val="FF9999"/>
                </a:solidFill>
                <a:prstDash val="solid"/>
              </a:ln>
            </c:spPr>
          </c:marker>
          <c:cat>
            <c:numRef>
              <c:f>freight_graph!$C$37:$AB$37</c:f>
              <c:numCache>
                <c:formatCode>0</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freight_graph!$C$42:$AB$42</c:f>
              <c:numCache>
                <c:formatCode>0.0</c:formatCode>
                <c:ptCount val="26"/>
                <c:pt idx="0">
                  <c:v>103.81029999999998</c:v>
                </c:pt>
                <c:pt idx="1">
                  <c:v>107.7071</c:v>
                </c:pt>
                <c:pt idx="2">
                  <c:v>107.66900000000001</c:v>
                </c:pt>
                <c:pt idx="3">
                  <c:v>114.67399999999999</c:v>
                </c:pt>
                <c:pt idx="4">
                  <c:v>113.21399999999998</c:v>
                </c:pt>
                <c:pt idx="5">
                  <c:v>115.68269999999998</c:v>
                </c:pt>
                <c:pt idx="6">
                  <c:v>122.3753</c:v>
                </c:pt>
                <c:pt idx="7">
                  <c:v>118.79659999999998</c:v>
                </c:pt>
                <c:pt idx="8">
                  <c:v>121.20380000000002</c:v>
                </c:pt>
                <c:pt idx="9">
                  <c:v>122.60236060000001</c:v>
                </c:pt>
                <c:pt idx="10">
                  <c:v>126.80850379999998</c:v>
                </c:pt>
                <c:pt idx="11">
                  <c:v>125.78924979999998</c:v>
                </c:pt>
                <c:pt idx="12">
                  <c:v>118.22248842182226</c:v>
                </c:pt>
                <c:pt idx="13">
                  <c:v>114.76496585313126</c:v>
                </c:pt>
                <c:pt idx="14">
                  <c:v>111.63421473696151</c:v>
                </c:pt>
                <c:pt idx="15">
                  <c:v>110.96844560300448</c:v>
                </c:pt>
                <c:pt idx="16">
                  <c:v>108.27031897026802</c:v>
                </c:pt>
                <c:pt idx="17">
                  <c:v>104.98250906969668</c:v>
                </c:pt>
                <c:pt idx="18">
                  <c:v>102.0834831637049</c:v>
                </c:pt>
                <c:pt idx="19">
                  <c:v>101.08568894404827</c:v>
                </c:pt>
                <c:pt idx="20">
                  <c:v>104.14976966869865</c:v>
                </c:pt>
                <c:pt idx="21">
                  <c:v>104.6967429921506</c:v>
                </c:pt>
                <c:pt idx="22">
                  <c:v>104.02069553496584</c:v>
                </c:pt>
                <c:pt idx="23">
                  <c:v>104.11186199860504</c:v>
                </c:pt>
                <c:pt idx="24">
                  <c:v>101.00951657524053</c:v>
                </c:pt>
                <c:pt idx="25">
                  <c:v>91.725137702937118</c:v>
                </c:pt>
              </c:numCache>
            </c:numRef>
          </c:val>
          <c:smooth val="0"/>
          <c:extLst>
            <c:ext xmlns:c16="http://schemas.microsoft.com/office/drawing/2014/chart" uri="{C3380CC4-5D6E-409C-BE32-E72D297353CC}">
              <c16:uniqueId val="{00000004-867E-43BB-9682-34496CE99106}"/>
            </c:ext>
          </c:extLst>
        </c:ser>
        <c:ser>
          <c:idx val="5"/>
          <c:order val="5"/>
          <c:tx>
            <c:strRef>
              <c:f>freight_graph!$B$43</c:f>
              <c:strCache>
                <c:ptCount val="1"/>
                <c:pt idx="0">
                  <c:v>Air</c:v>
                </c:pt>
              </c:strCache>
            </c:strRef>
          </c:tx>
          <c:spPr>
            <a:ln w="12700">
              <a:solidFill>
                <a:schemeClr val="tx2">
                  <a:lumMod val="40000"/>
                  <a:lumOff val="60000"/>
                </a:schemeClr>
              </a:solidFill>
              <a:prstDash val="solid"/>
            </a:ln>
          </c:spPr>
          <c:marker>
            <c:symbol val="none"/>
          </c:marker>
          <c:cat>
            <c:numRef>
              <c:f>freight_graph!$C$37:$AB$37</c:f>
              <c:numCache>
                <c:formatCode>0</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freight_graph!$C$43:$AB$43</c:f>
              <c:numCache>
                <c:formatCode>0.0</c:formatCode>
                <c:ptCount val="26"/>
                <c:pt idx="0">
                  <c:v>1.4182255053453219</c:v>
                </c:pt>
                <c:pt idx="1">
                  <c:v>1.4607722705056818</c:v>
                </c:pt>
                <c:pt idx="2">
                  <c:v>1.5458658008264012</c:v>
                </c:pt>
                <c:pt idx="3">
                  <c:v>1.5955036935134874</c:v>
                </c:pt>
                <c:pt idx="4">
                  <c:v>1.6309593311471202</c:v>
                </c:pt>
                <c:pt idx="5">
                  <c:v>1.7373262440480199</c:v>
                </c:pt>
                <c:pt idx="6">
                  <c:v>1.7444173715747466</c:v>
                </c:pt>
                <c:pt idx="7">
                  <c:v>1.7018706064143865</c:v>
                </c:pt>
                <c:pt idx="8">
                  <c:v>1.7160528614678396</c:v>
                </c:pt>
                <c:pt idx="9">
                  <c:v>1.7798730092083788</c:v>
                </c:pt>
                <c:pt idx="10">
                  <c:v>1.8295109018954654</c:v>
                </c:pt>
                <c:pt idx="11">
                  <c:v>1.8862399221092783</c:v>
                </c:pt>
                <c:pt idx="12">
                  <c:v>1.9500600698498178</c:v>
                </c:pt>
                <c:pt idx="13" formatCode="0.00">
                  <c:v>1.9093614708340243</c:v>
                </c:pt>
                <c:pt idx="14" formatCode="0.00">
                  <c:v>1.8066757761372345</c:v>
                </c:pt>
                <c:pt idx="15" formatCode="0.00">
                  <c:v>1.8374578508108661</c:v>
                </c:pt>
                <c:pt idx="16" formatCode="0.00">
                  <c:v>1.8527510970101833</c:v>
                </c:pt>
                <c:pt idx="17" formatCode="0.00">
                  <c:v>1.8226662887517358</c:v>
                </c:pt>
                <c:pt idx="18" formatCode="0.00">
                  <c:v>1.8346995275945124</c:v>
                </c:pt>
                <c:pt idx="19" formatCode="0.00">
                  <c:v>2.1144167610581874</c:v>
                </c:pt>
                <c:pt idx="20" formatCode="0.00">
                  <c:v>2.1423488006047902</c:v>
                </c:pt>
                <c:pt idx="21" formatCode="0.00">
                  <c:v>2.1499892983036877</c:v>
                </c:pt>
                <c:pt idx="22" formatCode="0.00">
                  <c:v>2.1719834611324687</c:v>
                </c:pt>
                <c:pt idx="23" formatCode="0.00">
                  <c:v>2.216132601925827</c:v>
                </c:pt>
                <c:pt idx="24" formatCode="0.00">
                  <c:v>2.3225078439893458</c:v>
                </c:pt>
                <c:pt idx="25" formatCode="0.00">
                  <c:v>2.0623147846096219</c:v>
                </c:pt>
              </c:numCache>
            </c:numRef>
          </c:val>
          <c:smooth val="0"/>
          <c:extLst>
            <c:ext xmlns:c16="http://schemas.microsoft.com/office/drawing/2014/chart" uri="{C3380CC4-5D6E-409C-BE32-E72D297353CC}">
              <c16:uniqueId val="{00000005-867E-43BB-9682-34496CE99106}"/>
            </c:ext>
          </c:extLst>
        </c:ser>
        <c:dLbls>
          <c:showLegendKey val="0"/>
          <c:showVal val="0"/>
          <c:showCatName val="0"/>
          <c:showSerName val="0"/>
          <c:showPercent val="0"/>
          <c:showBubbleSize val="0"/>
        </c:dLbls>
        <c:marker val="1"/>
        <c:smooth val="0"/>
        <c:axId val="311608672"/>
        <c:axId val="1"/>
      </c:lineChart>
      <c:catAx>
        <c:axId val="31160867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max val="22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11608672"/>
        <c:crosses val="autoZero"/>
        <c:crossBetween val="midCat"/>
        <c:majorUnit val="200"/>
      </c:valAx>
      <c:spPr>
        <a:solidFill>
          <a:srgbClr val="FFFFFF"/>
        </a:solidFill>
        <a:ln w="12700">
          <a:solidFill>
            <a:srgbClr val="808080"/>
          </a:solidFill>
          <a:prstDash val="solid"/>
        </a:ln>
      </c:spPr>
    </c:plotArea>
    <c:legend>
      <c:legendPos val="b"/>
      <c:layout>
        <c:manualLayout>
          <c:xMode val="edge"/>
          <c:yMode val="edge"/>
          <c:x val="0.22687020284019174"/>
          <c:y val="0.94613067996140432"/>
          <c:w val="0.46634250102623426"/>
          <c:h val="3.1325144356955381E-2"/>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CCFFCC"/>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412377</xdr:colOff>
      <xdr:row>0</xdr:row>
      <xdr:rowOff>0</xdr:rowOff>
    </xdr:from>
    <xdr:to>
      <xdr:col>18</xdr:col>
      <xdr:colOff>224119</xdr:colOff>
      <xdr:row>30</xdr:row>
      <xdr:rowOff>11206</xdr:rowOff>
    </xdr:to>
    <xdr:graphicFrame macro="">
      <xdr:nvGraphicFramePr>
        <xdr:cNvPr id="12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1">
    <pageSetUpPr fitToPage="1"/>
  </sheetPr>
  <dimension ref="B1:E71"/>
  <sheetViews>
    <sheetView tabSelected="1" zoomScale="85" zoomScaleNormal="85" workbookViewId="0">
      <selection activeCell="J12" sqref="I12:J13"/>
    </sheetView>
  </sheetViews>
  <sheetFormatPr defaultRowHeight="12.75" x14ac:dyDescent="0.2"/>
  <cols>
    <col min="1" max="1" width="0.85546875" style="5" customWidth="1"/>
    <col min="2" max="2" width="7.7109375" style="8" customWidth="1"/>
    <col min="3" max="3" width="2" style="10" customWidth="1"/>
    <col min="4" max="4" width="51.5703125" style="5" customWidth="1"/>
    <col min="5" max="5" width="12.140625" style="5" customWidth="1"/>
    <col min="6" max="16384" width="9.140625" style="5"/>
  </cols>
  <sheetData>
    <row r="1" spans="2:5" ht="20.100000000000001" customHeight="1" x14ac:dyDescent="0.2">
      <c r="B1" s="535" t="s">
        <v>52</v>
      </c>
      <c r="C1" s="535"/>
      <c r="D1" s="535"/>
      <c r="E1" s="535"/>
    </row>
    <row r="2" spans="2:5" ht="20.100000000000001" customHeight="1" x14ac:dyDescent="0.2">
      <c r="B2" s="536" t="s">
        <v>53</v>
      </c>
      <c r="C2" s="536"/>
      <c r="D2" s="536"/>
      <c r="E2" s="536"/>
    </row>
    <row r="3" spans="2:5" ht="20.100000000000001" customHeight="1" x14ac:dyDescent="0.2">
      <c r="B3" s="537" t="s">
        <v>86</v>
      </c>
      <c r="C3" s="537"/>
      <c r="D3" s="537"/>
      <c r="E3" s="537"/>
    </row>
    <row r="4" spans="2:5" ht="20.100000000000001" customHeight="1" x14ac:dyDescent="0.2">
      <c r="B4" s="538" t="s">
        <v>54</v>
      </c>
      <c r="C4" s="538"/>
      <c r="D4" s="538"/>
      <c r="E4" s="538"/>
    </row>
    <row r="5" spans="2:5" ht="20.100000000000001" customHeight="1" x14ac:dyDescent="0.2">
      <c r="B5" s="54"/>
      <c r="C5" s="54"/>
      <c r="D5" s="54"/>
      <c r="E5" s="54"/>
    </row>
    <row r="6" spans="2:5" ht="20.100000000000001" customHeight="1" x14ac:dyDescent="0.2"/>
    <row r="7" spans="2:5" ht="20.100000000000001" customHeight="1" x14ac:dyDescent="0.2">
      <c r="B7" s="535" t="s">
        <v>85</v>
      </c>
      <c r="C7" s="535"/>
      <c r="D7" s="535"/>
      <c r="E7" s="535"/>
    </row>
    <row r="8" spans="2:5" ht="20.100000000000001" customHeight="1" x14ac:dyDescent="0.2">
      <c r="B8" s="534">
        <v>2022</v>
      </c>
      <c r="C8" s="534"/>
      <c r="D8" s="534"/>
      <c r="E8" s="534"/>
    </row>
    <row r="9" spans="2:5" ht="20.100000000000001" customHeight="1" x14ac:dyDescent="0.2">
      <c r="B9" s="55"/>
      <c r="C9" s="55"/>
      <c r="D9" s="55"/>
      <c r="E9" s="55"/>
    </row>
    <row r="10" spans="2:5" ht="20.100000000000001" customHeight="1" x14ac:dyDescent="0.2">
      <c r="B10" s="532" t="s">
        <v>87</v>
      </c>
      <c r="C10" s="532"/>
      <c r="D10" s="532"/>
      <c r="E10" s="532"/>
    </row>
    <row r="11" spans="2:5" ht="20.100000000000001" customHeight="1" x14ac:dyDescent="0.2">
      <c r="B11" s="7"/>
      <c r="E11" s="7"/>
    </row>
    <row r="12" spans="2:5" ht="20.100000000000001" customHeight="1" x14ac:dyDescent="0.2">
      <c r="B12" s="533" t="s">
        <v>88</v>
      </c>
      <c r="C12" s="533"/>
      <c r="D12" s="533"/>
      <c r="E12" s="533"/>
    </row>
    <row r="13" spans="2:5" customFormat="1" ht="20.100000000000001" customHeight="1" x14ac:dyDescent="0.2">
      <c r="B13" s="533" t="s">
        <v>55</v>
      </c>
      <c r="C13" s="533"/>
      <c r="D13" s="533"/>
      <c r="E13" s="533"/>
    </row>
    <row r="14" spans="2:5" customFormat="1" ht="20.100000000000001" customHeight="1" x14ac:dyDescent="0.2">
      <c r="B14" s="533" t="s">
        <v>56</v>
      </c>
      <c r="C14" s="533"/>
      <c r="D14" s="533"/>
      <c r="E14" s="533"/>
    </row>
    <row r="15" spans="2:5" ht="20.100000000000001" customHeight="1" x14ac:dyDescent="0.2">
      <c r="B15" s="7"/>
      <c r="D15"/>
      <c r="E15" s="7"/>
    </row>
    <row r="16" spans="2:5" ht="20.100000000000001" customHeight="1" x14ac:dyDescent="0.2">
      <c r="B16" s="7"/>
      <c r="E16" s="7"/>
    </row>
    <row r="17" spans="2:5" ht="15" customHeight="1" x14ac:dyDescent="0.2">
      <c r="B17" s="50" t="s">
        <v>75</v>
      </c>
      <c r="C17" s="51"/>
      <c r="D17" s="261" t="s">
        <v>120</v>
      </c>
      <c r="E17" s="7"/>
    </row>
    <row r="18" spans="2:5" ht="15" customHeight="1" x14ac:dyDescent="0.2">
      <c r="B18" s="50" t="s">
        <v>76</v>
      </c>
      <c r="C18" s="51"/>
      <c r="D18" s="261" t="s">
        <v>121</v>
      </c>
      <c r="E18" s="7"/>
    </row>
    <row r="19" spans="2:5" ht="15" customHeight="1" x14ac:dyDescent="0.2">
      <c r="B19" s="50" t="s">
        <v>77</v>
      </c>
      <c r="C19" s="51"/>
      <c r="D19" s="261" t="s">
        <v>122</v>
      </c>
      <c r="E19" s="7"/>
    </row>
    <row r="20" spans="2:5" ht="15" customHeight="1" x14ac:dyDescent="0.2">
      <c r="B20" s="50" t="s">
        <v>78</v>
      </c>
      <c r="C20" s="51"/>
      <c r="D20" s="261" t="s">
        <v>123</v>
      </c>
      <c r="E20" s="7"/>
    </row>
    <row r="21" spans="2:5" customFormat="1" ht="15" customHeight="1" x14ac:dyDescent="0.2">
      <c r="B21" s="50" t="s">
        <v>79</v>
      </c>
      <c r="C21" s="51"/>
      <c r="D21" s="261" t="s">
        <v>124</v>
      </c>
    </row>
    <row r="22" spans="2:5" customFormat="1" ht="15" customHeight="1" x14ac:dyDescent="0.2">
      <c r="B22" s="50" t="s">
        <v>80</v>
      </c>
      <c r="C22" s="51"/>
      <c r="D22" s="261" t="s">
        <v>129</v>
      </c>
    </row>
    <row r="23" spans="2:5" customFormat="1" ht="15" customHeight="1" x14ac:dyDescent="0.2">
      <c r="B23" s="260" t="s">
        <v>104</v>
      </c>
      <c r="C23" s="51"/>
      <c r="D23" s="261" t="s">
        <v>107</v>
      </c>
    </row>
    <row r="24" spans="2:5" ht="15" customHeight="1" x14ac:dyDescent="0.2">
      <c r="B24" s="50" t="s">
        <v>81</v>
      </c>
      <c r="C24" s="52"/>
      <c r="D24" s="53" t="s">
        <v>50</v>
      </c>
    </row>
    <row r="25" spans="2:5" ht="15" customHeight="1" x14ac:dyDescent="0.2">
      <c r="B25" s="50" t="s">
        <v>82</v>
      </c>
      <c r="C25" s="52"/>
      <c r="D25" s="53" t="s">
        <v>37</v>
      </c>
      <c r="E25" s="7"/>
    </row>
    <row r="26" spans="2:5" ht="15" customHeight="1" x14ac:dyDescent="0.2">
      <c r="B26" s="50" t="s">
        <v>83</v>
      </c>
      <c r="C26" s="52"/>
      <c r="D26" s="53" t="s">
        <v>51</v>
      </c>
      <c r="E26" s="7"/>
    </row>
    <row r="27" spans="2:5" ht="15" customHeight="1" x14ac:dyDescent="0.2">
      <c r="B27" s="50" t="s">
        <v>84</v>
      </c>
      <c r="D27" s="261" t="s">
        <v>125</v>
      </c>
      <c r="E27" s="7"/>
    </row>
    <row r="28" spans="2:5" customFormat="1" ht="12.6" customHeight="1" x14ac:dyDescent="0.2">
      <c r="B28" s="7"/>
      <c r="C28" s="10"/>
      <c r="D28" s="5"/>
      <c r="E28" s="7"/>
    </row>
    <row r="29" spans="2:5" customFormat="1" ht="12.6" customHeight="1" x14ac:dyDescent="0.2">
      <c r="B29" s="7"/>
      <c r="C29" s="10"/>
      <c r="D29" s="5"/>
      <c r="E29" s="7"/>
    </row>
    <row r="30" spans="2:5" customFormat="1" ht="12.6" customHeight="1" x14ac:dyDescent="0.2">
      <c r="B30" s="7"/>
      <c r="C30" s="10"/>
      <c r="E30" s="7"/>
    </row>
    <row r="31" spans="2:5" customFormat="1" ht="12.6" customHeight="1" x14ac:dyDescent="0.2">
      <c r="B31" s="7"/>
      <c r="C31" s="10"/>
      <c r="E31" s="7"/>
    </row>
    <row r="32" spans="2:5" ht="12.6" customHeight="1" x14ac:dyDescent="0.2">
      <c r="B32" s="7"/>
      <c r="D32"/>
      <c r="E32" s="7"/>
    </row>
    <row r="33" spans="2:5" ht="12.6" customHeight="1" x14ac:dyDescent="0.2">
      <c r="B33" s="7"/>
      <c r="D33"/>
      <c r="E33" s="7"/>
    </row>
    <row r="34" spans="2:5" customFormat="1" x14ac:dyDescent="0.2"/>
    <row r="35" spans="2:5" ht="12.6" customHeight="1" x14ac:dyDescent="0.2">
      <c r="B35"/>
      <c r="C35"/>
      <c r="D35"/>
      <c r="E35"/>
    </row>
    <row r="36" spans="2:5" ht="12.6" customHeight="1" x14ac:dyDescent="0.25">
      <c r="B36" s="9"/>
      <c r="E36" s="7"/>
    </row>
    <row r="37" spans="2:5" x14ac:dyDescent="0.2">
      <c r="B37" s="7"/>
      <c r="E37" s="7"/>
    </row>
    <row r="38" spans="2:5" x14ac:dyDescent="0.2">
      <c r="B38" s="7"/>
      <c r="E38" s="7"/>
    </row>
    <row r="39" spans="2:5" x14ac:dyDescent="0.2">
      <c r="B39" s="7"/>
      <c r="E39" s="7"/>
    </row>
    <row r="40" spans="2:5" x14ac:dyDescent="0.2">
      <c r="C40"/>
    </row>
    <row r="41" spans="2:5" x14ac:dyDescent="0.2">
      <c r="B41"/>
      <c r="C41"/>
      <c r="D41"/>
      <c r="E41"/>
    </row>
    <row r="42" spans="2:5" ht="13.5" x14ac:dyDescent="0.25">
      <c r="B42" s="9"/>
      <c r="E42"/>
    </row>
    <row r="43" spans="2:5" x14ac:dyDescent="0.2">
      <c r="B43" s="7"/>
      <c r="E43" s="7"/>
    </row>
    <row r="44" spans="2:5" x14ac:dyDescent="0.2">
      <c r="B44" s="7"/>
      <c r="E44" s="7"/>
    </row>
    <row r="45" spans="2:5" x14ac:dyDescent="0.2">
      <c r="B45" s="7"/>
      <c r="E45" s="7"/>
    </row>
    <row r="46" spans="2:5" x14ac:dyDescent="0.2">
      <c r="B46" s="7"/>
      <c r="E46" s="7"/>
    </row>
    <row r="47" spans="2:5" x14ac:dyDescent="0.2">
      <c r="B47" s="7"/>
      <c r="E47" s="7"/>
    </row>
    <row r="48" spans="2:5" x14ac:dyDescent="0.2">
      <c r="B48" s="7"/>
      <c r="E48" s="7"/>
    </row>
    <row r="49" spans="2:5" x14ac:dyDescent="0.2">
      <c r="B49" s="7"/>
      <c r="E49" s="7"/>
    </row>
    <row r="51" spans="2:5" ht="13.5" x14ac:dyDescent="0.25">
      <c r="B51" s="9"/>
      <c r="E51"/>
    </row>
    <row r="52" spans="2:5" x14ac:dyDescent="0.2">
      <c r="B52" s="7"/>
      <c r="E52" s="7"/>
    </row>
    <row r="53" spans="2:5" x14ac:dyDescent="0.2">
      <c r="B53" s="7"/>
      <c r="E53" s="7"/>
    </row>
    <row r="54" spans="2:5" x14ac:dyDescent="0.2">
      <c r="B54" s="7"/>
      <c r="E54" s="7"/>
    </row>
    <row r="61" spans="2:5" x14ac:dyDescent="0.2">
      <c r="C61" s="13"/>
      <c r="D61" s="14"/>
    </row>
    <row r="68" spans="3:5" customFormat="1" x14ac:dyDescent="0.2"/>
    <row r="71" spans="3:5" x14ac:dyDescent="0.2">
      <c r="C71"/>
      <c r="D71"/>
      <c r="E71"/>
    </row>
  </sheetData>
  <mergeCells count="10">
    <mergeCell ref="B1:E1"/>
    <mergeCell ref="B2:E2"/>
    <mergeCell ref="B3:E3"/>
    <mergeCell ref="B4:E4"/>
    <mergeCell ref="B7:E7"/>
    <mergeCell ref="B10:E10"/>
    <mergeCell ref="B12:E12"/>
    <mergeCell ref="B13:E13"/>
    <mergeCell ref="B14:E14"/>
    <mergeCell ref="B8:E8"/>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K50"/>
  <sheetViews>
    <sheetView topLeftCell="Q28" zoomScale="85" zoomScaleNormal="85" workbookViewId="0">
      <selection activeCell="AI11" sqref="AI11"/>
    </sheetView>
  </sheetViews>
  <sheetFormatPr defaultRowHeight="12.75" x14ac:dyDescent="0.2"/>
  <cols>
    <col min="1" max="1" width="2.7109375" customWidth="1"/>
    <col min="2" max="2" width="4" style="3" customWidth="1"/>
    <col min="3" max="10" width="6.7109375" style="3" customWidth="1"/>
    <col min="11" max="14" width="6.7109375" style="3" hidden="1" customWidth="1"/>
    <col min="15" max="20" width="6.7109375" style="3" customWidth="1"/>
    <col min="21" max="26" width="7.28515625" style="3" customWidth="1"/>
    <col min="27" max="33" width="7.42578125" style="3" customWidth="1"/>
    <col min="34" max="35" width="6.28515625" style="3" customWidth="1"/>
    <col min="36" max="36" width="6.28515625" style="525" customWidth="1"/>
    <col min="37" max="37" width="4.7109375" style="3" customWidth="1"/>
    <col min="38" max="16384" width="9.140625" style="3"/>
  </cols>
  <sheetData>
    <row r="1" spans="1:37" ht="14.25" customHeight="1" x14ac:dyDescent="0.2">
      <c r="B1" s="42"/>
      <c r="C1" s="43"/>
      <c r="D1" s="43"/>
      <c r="E1" s="38"/>
      <c r="F1" s="38"/>
      <c r="G1" s="38"/>
      <c r="H1" s="38"/>
      <c r="I1" s="38"/>
      <c r="J1" s="38"/>
      <c r="K1" s="38"/>
      <c r="L1" s="38"/>
      <c r="M1" s="38"/>
      <c r="N1" s="38"/>
      <c r="O1" s="38"/>
      <c r="P1" s="38"/>
      <c r="R1"/>
      <c r="U1" s="39"/>
      <c r="V1" s="39"/>
      <c r="W1" s="39"/>
      <c r="X1" s="39"/>
      <c r="Y1" s="39"/>
      <c r="Z1" s="39"/>
      <c r="AA1" s="39"/>
      <c r="AB1" s="39"/>
      <c r="AC1" s="39"/>
      <c r="AD1" s="39"/>
      <c r="AE1" s="39"/>
      <c r="AF1" s="39"/>
      <c r="AG1" s="39"/>
      <c r="AH1" s="39"/>
      <c r="AI1" s="39"/>
      <c r="AK1" s="39" t="s">
        <v>82</v>
      </c>
    </row>
    <row r="2" spans="1:37" s="47" customFormat="1" ht="30" customHeight="1" x14ac:dyDescent="0.2">
      <c r="A2" s="80"/>
      <c r="B2" s="589" t="s">
        <v>133</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row>
    <row r="3" spans="1:37" ht="12" customHeight="1" x14ac:dyDescent="0.2">
      <c r="B3" s="4"/>
      <c r="C3" s="4"/>
      <c r="E3" s="28"/>
      <c r="F3" s="28"/>
      <c r="G3" s="28"/>
      <c r="H3" s="28"/>
      <c r="I3" s="28"/>
      <c r="J3" s="30"/>
      <c r="K3" s="30"/>
      <c r="L3" s="30"/>
      <c r="M3" s="30"/>
      <c r="N3" s="30"/>
      <c r="O3" s="30"/>
      <c r="R3" s="44"/>
      <c r="T3" s="123"/>
      <c r="U3" s="123"/>
      <c r="W3" s="293"/>
      <c r="X3" s="294"/>
      <c r="Y3" s="21"/>
      <c r="Z3" s="21"/>
      <c r="AA3" s="21"/>
      <c r="AB3" s="21"/>
      <c r="AC3" s="21"/>
      <c r="AD3" s="293"/>
      <c r="AE3" s="293"/>
      <c r="AF3" s="305"/>
      <c r="AG3" s="581" t="s">
        <v>95</v>
      </c>
      <c r="AH3" s="581"/>
      <c r="AI3" s="581"/>
      <c r="AJ3" s="524"/>
      <c r="AK3" s="45"/>
    </row>
    <row r="4" spans="1:37" ht="20.100000000000001" customHeight="1" x14ac:dyDescent="0.2">
      <c r="B4" s="32"/>
      <c r="C4" s="102">
        <v>1970</v>
      </c>
      <c r="D4" s="102">
        <v>1980</v>
      </c>
      <c r="E4" s="85">
        <v>1990</v>
      </c>
      <c r="F4" s="85">
        <v>1991</v>
      </c>
      <c r="G4" s="85">
        <v>1992</v>
      </c>
      <c r="H4" s="85">
        <v>1993</v>
      </c>
      <c r="I4" s="85">
        <v>1994</v>
      </c>
      <c r="J4" s="85">
        <v>1995</v>
      </c>
      <c r="K4" s="85">
        <v>1996</v>
      </c>
      <c r="L4" s="85">
        <v>1997</v>
      </c>
      <c r="M4" s="85">
        <v>1998</v>
      </c>
      <c r="N4" s="85">
        <v>1999</v>
      </c>
      <c r="O4" s="85">
        <v>2000</v>
      </c>
      <c r="P4" s="85">
        <v>2001</v>
      </c>
      <c r="Q4" s="85">
        <v>2002</v>
      </c>
      <c r="R4" s="85">
        <v>2003</v>
      </c>
      <c r="S4" s="85">
        <v>2004</v>
      </c>
      <c r="T4" s="85">
        <v>2005</v>
      </c>
      <c r="U4" s="85">
        <v>2006</v>
      </c>
      <c r="V4" s="85">
        <v>2007</v>
      </c>
      <c r="W4" s="85">
        <v>2008</v>
      </c>
      <c r="X4" s="85">
        <v>2009</v>
      </c>
      <c r="Y4" s="85">
        <v>2010</v>
      </c>
      <c r="Z4" s="85">
        <v>2011</v>
      </c>
      <c r="AA4" s="85">
        <v>2012</v>
      </c>
      <c r="AB4" s="85">
        <v>2013</v>
      </c>
      <c r="AC4" s="85">
        <v>2014</v>
      </c>
      <c r="AD4" s="85">
        <v>2015</v>
      </c>
      <c r="AE4" s="85">
        <v>2016</v>
      </c>
      <c r="AF4" s="85">
        <v>2017</v>
      </c>
      <c r="AG4" s="85">
        <v>2018</v>
      </c>
      <c r="AH4" s="85">
        <v>2019</v>
      </c>
      <c r="AI4" s="139">
        <v>2020</v>
      </c>
      <c r="AJ4" s="393" t="s">
        <v>146</v>
      </c>
      <c r="AK4" s="62"/>
    </row>
    <row r="5" spans="1:37" ht="9.9499999999999993" customHeight="1" x14ac:dyDescent="0.2">
      <c r="B5" s="32"/>
      <c r="C5" s="103"/>
      <c r="D5" s="104"/>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357"/>
      <c r="AJ5" s="526" t="s">
        <v>63</v>
      </c>
      <c r="AK5" s="62"/>
    </row>
    <row r="6" spans="1:37" ht="9.9499999999999993" customHeight="1" x14ac:dyDescent="0.2">
      <c r="B6" s="279" t="s">
        <v>112</v>
      </c>
      <c r="C6" s="480">
        <f t="shared" ref="C6:Y6" si="0">C7-C43</f>
        <v>112.476</v>
      </c>
      <c r="D6" s="480">
        <f t="shared" si="0"/>
        <v>119.371</v>
      </c>
      <c r="E6" s="287">
        <f t="shared" si="0"/>
        <v>118.53522714499999</v>
      </c>
      <c r="F6" s="287">
        <f t="shared" si="0"/>
        <v>116.50840167300001</v>
      </c>
      <c r="G6" s="287">
        <f t="shared" si="0"/>
        <v>114.86673840299999</v>
      </c>
      <c r="H6" s="287">
        <f t="shared" si="0"/>
        <v>108.88724280999999</v>
      </c>
      <c r="I6" s="287">
        <f t="shared" si="0"/>
        <v>118.58323084900002</v>
      </c>
      <c r="J6" s="287">
        <f t="shared" si="0"/>
        <v>121.91820799999999</v>
      </c>
      <c r="K6" s="296">
        <f t="shared" si="0"/>
        <v>119.59849199999999</v>
      </c>
      <c r="L6" s="296">
        <f t="shared" si="0"/>
        <v>127.72012699999998</v>
      </c>
      <c r="M6" s="296">
        <f t="shared" si="0"/>
        <v>130.914354551</v>
      </c>
      <c r="N6" s="296">
        <f t="shared" si="0"/>
        <v>128.618899</v>
      </c>
      <c r="O6" s="296">
        <f t="shared" si="0"/>
        <v>133.7148856</v>
      </c>
      <c r="P6" s="296">
        <f t="shared" si="0"/>
        <v>132.4162436</v>
      </c>
      <c r="Q6" s="296">
        <f t="shared" si="0"/>
        <v>132.41402299999999</v>
      </c>
      <c r="R6" s="296">
        <f t="shared" si="0"/>
        <v>123.43508519999999</v>
      </c>
      <c r="S6" s="296">
        <f t="shared" si="0"/>
        <v>136.76315100000005</v>
      </c>
      <c r="T6" s="296">
        <f t="shared" si="0"/>
        <v>138.61097439999998</v>
      </c>
      <c r="U6" s="296">
        <f t="shared" si="0"/>
        <v>138.41696909999999</v>
      </c>
      <c r="V6" s="296">
        <f t="shared" si="0"/>
        <v>145.40199999999999</v>
      </c>
      <c r="W6" s="296">
        <f t="shared" si="0"/>
        <v>146.90300000000002</v>
      </c>
      <c r="X6" s="296">
        <f t="shared" si="0"/>
        <v>132.60600000000002</v>
      </c>
      <c r="Y6" s="296">
        <f t="shared" si="0"/>
        <v>155.36499999999998</v>
      </c>
      <c r="Z6" s="296">
        <f>SUM(Z8:Z34)</f>
        <v>141.82500000000002</v>
      </c>
      <c r="AA6" s="296">
        <f t="shared" ref="AA6:AI6" si="1">SUM(AA8:AA34)</f>
        <v>149.822</v>
      </c>
      <c r="AB6" s="296">
        <f t="shared" si="1"/>
        <v>152.58400000000003</v>
      </c>
      <c r="AC6" s="296">
        <f t="shared" si="1"/>
        <v>150.70699999999997</v>
      </c>
      <c r="AD6" s="296">
        <f t="shared" si="1"/>
        <v>147.35100000000003</v>
      </c>
      <c r="AE6" s="296">
        <f t="shared" si="1"/>
        <v>146.60899999999995</v>
      </c>
      <c r="AF6" s="296">
        <f t="shared" si="1"/>
        <v>147.22333333333333</v>
      </c>
      <c r="AG6" s="296">
        <f t="shared" si="1"/>
        <v>131.30277777777778</v>
      </c>
      <c r="AH6" s="296">
        <f t="shared" si="1"/>
        <v>139.69700000000003</v>
      </c>
      <c r="AI6" s="306">
        <f t="shared" si="1"/>
        <v>131.74100000000001</v>
      </c>
      <c r="AJ6" s="282">
        <f>AI6/AH6*100-100</f>
        <v>-5.6951831463811118</v>
      </c>
      <c r="AK6" s="279" t="s">
        <v>112</v>
      </c>
    </row>
    <row r="7" spans="1:37" ht="12.75" customHeight="1" x14ac:dyDescent="0.2">
      <c r="B7" s="279" t="s">
        <v>99</v>
      </c>
      <c r="C7" s="480">
        <v>112.776</v>
      </c>
      <c r="D7" s="480">
        <v>119.771</v>
      </c>
      <c r="E7" s="287">
        <v>118.83522714499999</v>
      </c>
      <c r="F7" s="287">
        <v>116.70840167300001</v>
      </c>
      <c r="G7" s="287">
        <v>115.05673840299998</v>
      </c>
      <c r="H7" s="287">
        <v>109.08724280999999</v>
      </c>
      <c r="I7" s="287">
        <v>118.78323084900002</v>
      </c>
      <c r="J7" s="287">
        <v>122.118208</v>
      </c>
      <c r="K7" s="296">
        <v>119.778492</v>
      </c>
      <c r="L7" s="296">
        <v>127.87012699999998</v>
      </c>
      <c r="M7" s="296">
        <v>131.06435455100001</v>
      </c>
      <c r="N7" s="296">
        <v>128.778899</v>
      </c>
      <c r="O7" s="296">
        <v>133.92488560000001</v>
      </c>
      <c r="P7" s="296">
        <v>132.6062436</v>
      </c>
      <c r="Q7" s="296">
        <v>132.59402299999999</v>
      </c>
      <c r="R7" s="296">
        <v>123.6150852</v>
      </c>
      <c r="S7" s="296">
        <v>136.91315100000006</v>
      </c>
      <c r="T7" s="296">
        <v>138.78097439999996</v>
      </c>
      <c r="U7" s="296">
        <v>138.57696909999999</v>
      </c>
      <c r="V7" s="296">
        <v>145.56399999999999</v>
      </c>
      <c r="W7" s="296">
        <v>147.06700000000001</v>
      </c>
      <c r="X7" s="296">
        <v>132.73900000000003</v>
      </c>
      <c r="Y7" s="296">
        <v>155.52099999999999</v>
      </c>
      <c r="Z7" s="296">
        <f t="shared" ref="Z7:AH7" si="2">Z6+Z43</f>
        <v>141.96900000000002</v>
      </c>
      <c r="AA7" s="296">
        <f t="shared" si="2"/>
        <v>149.98699999999999</v>
      </c>
      <c r="AB7" s="296">
        <f t="shared" si="2"/>
        <v>152.79500000000004</v>
      </c>
      <c r="AC7" s="296">
        <f t="shared" si="2"/>
        <v>150.87599999999998</v>
      </c>
      <c r="AD7" s="296">
        <f t="shared" si="2"/>
        <v>147.47100000000003</v>
      </c>
      <c r="AE7" s="296">
        <f t="shared" si="2"/>
        <v>146.71699999999996</v>
      </c>
      <c r="AF7" s="296">
        <f t="shared" si="2"/>
        <v>147.32233333333332</v>
      </c>
      <c r="AG7" s="296">
        <f t="shared" si="2"/>
        <v>131.39577777777777</v>
      </c>
      <c r="AH7" s="296">
        <f t="shared" si="2"/>
        <v>139.88400000000004</v>
      </c>
      <c r="AI7" s="306"/>
      <c r="AJ7" s="282"/>
      <c r="AK7" s="279" t="s">
        <v>99</v>
      </c>
    </row>
    <row r="8" spans="1:37" ht="12.75" customHeight="1" x14ac:dyDescent="0.2">
      <c r="A8" s="15"/>
      <c r="B8" s="17" t="s">
        <v>22</v>
      </c>
      <c r="C8" s="96">
        <v>6.734</v>
      </c>
      <c r="D8" s="96">
        <v>5.8520000000000003</v>
      </c>
      <c r="E8" s="161">
        <v>5.3888962219999996</v>
      </c>
      <c r="F8" s="161">
        <v>5.177006499</v>
      </c>
      <c r="G8" s="161">
        <v>5.0178630999999996</v>
      </c>
      <c r="H8" s="161">
        <v>4.9316739729999997</v>
      </c>
      <c r="I8" s="161">
        <v>5.4902624380000002</v>
      </c>
      <c r="J8" s="161">
        <v>5.7309999999999999</v>
      </c>
      <c r="K8" s="161">
        <v>5.7149999999999999</v>
      </c>
      <c r="L8" s="161">
        <v>5.8289999999999997</v>
      </c>
      <c r="M8" s="161">
        <v>6.0149999999999997</v>
      </c>
      <c r="N8" s="161">
        <v>6.3620000000000001</v>
      </c>
      <c r="O8" s="161">
        <v>7.2149999999999999</v>
      </c>
      <c r="P8" s="161">
        <v>7.6550000000000002</v>
      </c>
      <c r="Q8" s="161">
        <v>8.0730000000000004</v>
      </c>
      <c r="R8" s="161">
        <v>8.23</v>
      </c>
      <c r="S8" s="161">
        <v>8.3919999999999995</v>
      </c>
      <c r="T8" s="161">
        <v>8.5660000000000007</v>
      </c>
      <c r="U8" s="161">
        <v>8.9079999999999995</v>
      </c>
      <c r="V8" s="161">
        <v>9.0060000000000002</v>
      </c>
      <c r="W8" s="161">
        <v>8.7460000000000004</v>
      </c>
      <c r="X8" s="161">
        <v>7.0869999999999997</v>
      </c>
      <c r="Y8" s="161">
        <v>9.07</v>
      </c>
      <c r="Z8" s="161">
        <v>9.2509999999999994</v>
      </c>
      <c r="AA8" s="161">
        <v>10.42</v>
      </c>
      <c r="AB8" s="161">
        <v>10.365</v>
      </c>
      <c r="AC8" s="161">
        <v>10.451000000000001</v>
      </c>
      <c r="AD8" s="161">
        <v>10.426</v>
      </c>
      <c r="AE8" s="161">
        <v>10.331</v>
      </c>
      <c r="AF8" s="307">
        <v>11.098000000000001</v>
      </c>
      <c r="AG8" s="161">
        <v>7.9859999999999998</v>
      </c>
      <c r="AH8" s="161">
        <v>7.7670000000000003</v>
      </c>
      <c r="AI8" s="162">
        <v>7.3879999999999999</v>
      </c>
      <c r="AJ8" s="527">
        <f t="shared" ref="AJ8:AJ41" si="3">AI8/AH8*100-100</f>
        <v>-4.8796189004763733</v>
      </c>
      <c r="AK8" s="17" t="s">
        <v>22</v>
      </c>
    </row>
    <row r="9" spans="1:37" ht="12.75" customHeight="1" x14ac:dyDescent="0.2">
      <c r="A9" s="15"/>
      <c r="B9" s="88" t="s">
        <v>5</v>
      </c>
      <c r="C9" s="101">
        <v>1.83</v>
      </c>
      <c r="D9" s="101">
        <v>2.61</v>
      </c>
      <c r="E9" s="151">
        <v>1.61</v>
      </c>
      <c r="F9" s="151">
        <v>1.024</v>
      </c>
      <c r="G9" s="151">
        <v>0.83699999999999997</v>
      </c>
      <c r="H9" s="151">
        <v>0.46</v>
      </c>
      <c r="I9" s="151">
        <v>0.36</v>
      </c>
      <c r="J9" s="151">
        <v>0.52600000000000002</v>
      </c>
      <c r="K9" s="151">
        <v>0.505</v>
      </c>
      <c r="L9" s="151">
        <v>0.6</v>
      </c>
      <c r="M9" s="151">
        <v>0.56299999999999994</v>
      </c>
      <c r="N9" s="151">
        <v>0.187</v>
      </c>
      <c r="O9" s="151">
        <v>0.313</v>
      </c>
      <c r="P9" s="151">
        <v>0.41799999999999998</v>
      </c>
      <c r="Q9" s="151">
        <v>0.56100000000000005</v>
      </c>
      <c r="R9" s="151">
        <v>0.61299999999999999</v>
      </c>
      <c r="S9" s="151">
        <v>0.69699999999999995</v>
      </c>
      <c r="T9" s="151">
        <v>0.75700000000000001</v>
      </c>
      <c r="U9" s="151">
        <v>0.78500000000000003</v>
      </c>
      <c r="V9" s="157">
        <v>1.0109999999999999</v>
      </c>
      <c r="W9" s="157">
        <v>2.89</v>
      </c>
      <c r="X9" s="151">
        <v>5.4359999999999999</v>
      </c>
      <c r="Y9" s="151">
        <v>6.048</v>
      </c>
      <c r="Z9" s="151">
        <v>4.3099999999999996</v>
      </c>
      <c r="AA9" s="151">
        <v>5.3490000000000002</v>
      </c>
      <c r="AB9" s="151">
        <v>5.3739999999999997</v>
      </c>
      <c r="AC9" s="151">
        <v>5.0739999999999998</v>
      </c>
      <c r="AD9" s="151">
        <v>5.5949999999999998</v>
      </c>
      <c r="AE9" s="151">
        <v>5.4770000000000003</v>
      </c>
      <c r="AF9" s="151">
        <v>5.2789999999999999</v>
      </c>
      <c r="AG9" s="151">
        <v>4.8579999999999997</v>
      </c>
      <c r="AH9" s="151">
        <v>5.867</v>
      </c>
      <c r="AI9" s="152">
        <v>6.2560000000000002</v>
      </c>
      <c r="AJ9" s="169">
        <f t="shared" si="3"/>
        <v>6.6303050963013561</v>
      </c>
      <c r="AK9" s="88" t="s">
        <v>5</v>
      </c>
    </row>
    <row r="10" spans="1:37" ht="12.75" customHeight="1" x14ac:dyDescent="0.2">
      <c r="A10" s="15"/>
      <c r="B10" s="17" t="s">
        <v>7</v>
      </c>
      <c r="C10" s="95"/>
      <c r="D10" s="95"/>
      <c r="E10" s="57"/>
      <c r="F10" s="57"/>
      <c r="G10" s="57"/>
      <c r="H10" s="141"/>
      <c r="I10" s="57">
        <v>0.25259999999999999</v>
      </c>
      <c r="J10" s="57">
        <v>0.2757</v>
      </c>
      <c r="K10" s="57">
        <v>0.25650000000000001</v>
      </c>
      <c r="L10" s="57">
        <v>9.8400000000000001E-2</v>
      </c>
      <c r="M10" s="57">
        <v>0.100313551</v>
      </c>
      <c r="N10" s="57">
        <v>8.6999999999999994E-2</v>
      </c>
      <c r="O10" s="57">
        <v>8.8999999999999996E-2</v>
      </c>
      <c r="P10" s="57">
        <v>7.8E-2</v>
      </c>
      <c r="Q10" s="57">
        <v>0.08</v>
      </c>
      <c r="R10" s="57">
        <v>5.8000000000000003E-2</v>
      </c>
      <c r="S10" s="57">
        <v>4.8000000000000001E-2</v>
      </c>
      <c r="T10" s="57">
        <v>6.3E-2</v>
      </c>
      <c r="U10" s="57">
        <v>4.2999999999999997E-2</v>
      </c>
      <c r="V10" s="57">
        <v>3.5999999999999997E-2</v>
      </c>
      <c r="W10" s="57">
        <v>2.8000000000000001E-2</v>
      </c>
      <c r="X10" s="57">
        <v>3.3000000000000002E-2</v>
      </c>
      <c r="Y10" s="57">
        <v>4.2999999999999997E-2</v>
      </c>
      <c r="Z10" s="57">
        <v>4.2000000000000003E-2</v>
      </c>
      <c r="AA10" s="57">
        <v>3.7999999999999999E-2</v>
      </c>
      <c r="AB10" s="57">
        <v>2.5000000000000001E-2</v>
      </c>
      <c r="AC10" s="57">
        <v>2.7E-2</v>
      </c>
      <c r="AD10" s="57">
        <v>3.3000000000000002E-2</v>
      </c>
      <c r="AE10" s="57">
        <v>3.5999999999999997E-2</v>
      </c>
      <c r="AF10" s="57">
        <v>2.5000000000000001E-2</v>
      </c>
      <c r="AG10" s="57">
        <v>2.3E-2</v>
      </c>
      <c r="AH10" s="57">
        <v>3.2000000000000001E-2</v>
      </c>
      <c r="AI10" s="163">
        <v>1.7999999999999999E-2</v>
      </c>
      <c r="AJ10" s="170">
        <f t="shared" si="3"/>
        <v>-43.75</v>
      </c>
      <c r="AK10" s="17" t="s">
        <v>7</v>
      </c>
    </row>
    <row r="11" spans="1:37" ht="12.75" customHeight="1" x14ac:dyDescent="0.2">
      <c r="A11" s="15"/>
      <c r="B11" s="88" t="s">
        <v>18</v>
      </c>
      <c r="C11" s="101" t="s">
        <v>35</v>
      </c>
      <c r="D11" s="101" t="s">
        <v>35</v>
      </c>
      <c r="E11" s="151" t="s">
        <v>35</v>
      </c>
      <c r="F11" s="151" t="s">
        <v>35</v>
      </c>
      <c r="G11" s="151" t="s">
        <v>35</v>
      </c>
      <c r="H11" s="151" t="s">
        <v>35</v>
      </c>
      <c r="I11" s="151" t="s">
        <v>35</v>
      </c>
      <c r="J11" s="151" t="s">
        <v>35</v>
      </c>
      <c r="K11" s="151" t="s">
        <v>35</v>
      </c>
      <c r="L11" s="151" t="s">
        <v>35</v>
      </c>
      <c r="M11" s="151" t="s">
        <v>35</v>
      </c>
      <c r="N11" s="151" t="s">
        <v>35</v>
      </c>
      <c r="O11" s="151" t="s">
        <v>35</v>
      </c>
      <c r="P11" s="151" t="s">
        <v>35</v>
      </c>
      <c r="Q11" s="151" t="s">
        <v>35</v>
      </c>
      <c r="R11" s="151" t="s">
        <v>35</v>
      </c>
      <c r="S11" s="151" t="s">
        <v>35</v>
      </c>
      <c r="T11" s="151" t="s">
        <v>35</v>
      </c>
      <c r="U11" s="151" t="s">
        <v>35</v>
      </c>
      <c r="V11" s="151" t="s">
        <v>35</v>
      </c>
      <c r="W11" s="151" t="s">
        <v>35</v>
      </c>
      <c r="X11" s="151" t="s">
        <v>35</v>
      </c>
      <c r="Y11" s="151" t="s">
        <v>35</v>
      </c>
      <c r="Z11" s="151" t="s">
        <v>35</v>
      </c>
      <c r="AA11" s="156" t="s">
        <v>35</v>
      </c>
      <c r="AB11" s="156" t="s">
        <v>35</v>
      </c>
      <c r="AC11" s="156" t="s">
        <v>35</v>
      </c>
      <c r="AD11" s="156" t="s">
        <v>35</v>
      </c>
      <c r="AE11" s="156" t="s">
        <v>35</v>
      </c>
      <c r="AF11" s="156" t="s">
        <v>35</v>
      </c>
      <c r="AG11" s="156" t="s">
        <v>35</v>
      </c>
      <c r="AH11" s="156" t="s">
        <v>35</v>
      </c>
      <c r="AI11" s="156" t="s">
        <v>35</v>
      </c>
      <c r="AJ11" s="466" t="s">
        <v>35</v>
      </c>
      <c r="AK11" s="88" t="s">
        <v>18</v>
      </c>
    </row>
    <row r="12" spans="1:37" ht="12.75" customHeight="1" x14ac:dyDescent="0.2">
      <c r="A12" s="15"/>
      <c r="B12" s="17" t="s">
        <v>23</v>
      </c>
      <c r="C12" s="95">
        <v>48.8</v>
      </c>
      <c r="D12" s="95">
        <v>51.4</v>
      </c>
      <c r="E12" s="57">
        <v>54.802999999999997</v>
      </c>
      <c r="F12" s="57">
        <v>55.973424604999998</v>
      </c>
      <c r="G12" s="57">
        <v>57.239443125999998</v>
      </c>
      <c r="H12" s="57">
        <v>57.559339868000002</v>
      </c>
      <c r="I12" s="57">
        <v>61.771966849999998</v>
      </c>
      <c r="J12" s="57">
        <v>63.981999999999999</v>
      </c>
      <c r="K12" s="57">
        <v>61.290999999999997</v>
      </c>
      <c r="L12" s="57">
        <v>62.152999999999999</v>
      </c>
      <c r="M12" s="57">
        <v>64.266999999999996</v>
      </c>
      <c r="N12" s="57">
        <v>62.692</v>
      </c>
      <c r="O12" s="57">
        <v>66.465000000000003</v>
      </c>
      <c r="P12" s="57">
        <v>64.817999999999998</v>
      </c>
      <c r="Q12" s="57">
        <v>64.165999999999997</v>
      </c>
      <c r="R12" s="57">
        <v>58.154000000000003</v>
      </c>
      <c r="S12" s="57">
        <v>63.667000000000002</v>
      </c>
      <c r="T12" s="57">
        <v>64.096000000000004</v>
      </c>
      <c r="U12" s="57">
        <v>63.975000000000001</v>
      </c>
      <c r="V12" s="57">
        <v>64.710999999999999</v>
      </c>
      <c r="W12" s="57">
        <v>64.055999999999997</v>
      </c>
      <c r="X12" s="57">
        <v>55.652000000000001</v>
      </c>
      <c r="Y12" s="57">
        <v>62.277999999999999</v>
      </c>
      <c r="Z12" s="57">
        <v>55.027000000000001</v>
      </c>
      <c r="AA12" s="57">
        <v>58.488</v>
      </c>
      <c r="AB12" s="57">
        <v>60.07</v>
      </c>
      <c r="AC12" s="57">
        <v>59.093000000000004</v>
      </c>
      <c r="AD12" s="57">
        <v>55.314999999999998</v>
      </c>
      <c r="AE12" s="57">
        <v>54.347000000000001</v>
      </c>
      <c r="AF12" s="57">
        <v>55.518000000000001</v>
      </c>
      <c r="AG12" s="57">
        <v>46.901000000000003</v>
      </c>
      <c r="AH12" s="57">
        <v>50.918999999999997</v>
      </c>
      <c r="AI12" s="163">
        <v>46.338000000000001</v>
      </c>
      <c r="AJ12" s="170">
        <f t="shared" si="3"/>
        <v>-8.9966417250927861</v>
      </c>
      <c r="AK12" s="17" t="s">
        <v>23</v>
      </c>
    </row>
    <row r="13" spans="1:37" ht="12.75" customHeight="1" x14ac:dyDescent="0.2">
      <c r="A13" s="15"/>
      <c r="B13" s="88" t="s">
        <v>8</v>
      </c>
      <c r="C13" s="101">
        <v>0.01</v>
      </c>
      <c r="D13" s="101">
        <v>0.01</v>
      </c>
      <c r="E13" s="151">
        <v>0</v>
      </c>
      <c r="F13" s="151">
        <v>1E-3</v>
      </c>
      <c r="G13" s="151">
        <v>1E-3</v>
      </c>
      <c r="H13" s="151">
        <v>0</v>
      </c>
      <c r="I13" s="151">
        <v>1E-3</v>
      </c>
      <c r="J13" s="151">
        <v>0</v>
      </c>
      <c r="K13" s="151">
        <v>0</v>
      </c>
      <c r="L13" s="151">
        <v>0</v>
      </c>
      <c r="M13" s="151">
        <v>0</v>
      </c>
      <c r="N13" s="151">
        <v>2E-3</v>
      </c>
      <c r="O13" s="151" t="s">
        <v>35</v>
      </c>
      <c r="P13" s="151" t="s">
        <v>35</v>
      </c>
      <c r="Q13" s="151" t="s">
        <v>35</v>
      </c>
      <c r="R13" s="151" t="s">
        <v>35</v>
      </c>
      <c r="S13" s="151" t="s">
        <v>35</v>
      </c>
      <c r="T13" s="151" t="s">
        <v>35</v>
      </c>
      <c r="U13" s="151" t="s">
        <v>35</v>
      </c>
      <c r="V13" s="151" t="s">
        <v>35</v>
      </c>
      <c r="W13" s="151" t="s">
        <v>35</v>
      </c>
      <c r="X13" s="151" t="s">
        <v>35</v>
      </c>
      <c r="Y13" s="151" t="s">
        <v>35</v>
      </c>
      <c r="Z13" s="151" t="s">
        <v>35</v>
      </c>
      <c r="AA13" s="156" t="s">
        <v>35</v>
      </c>
      <c r="AB13" s="156" t="s">
        <v>35</v>
      </c>
      <c r="AC13" s="156" t="s">
        <v>35</v>
      </c>
      <c r="AD13" s="156" t="s">
        <v>35</v>
      </c>
      <c r="AE13" s="156" t="s">
        <v>35</v>
      </c>
      <c r="AF13" s="156" t="s">
        <v>35</v>
      </c>
      <c r="AG13" s="156" t="s">
        <v>35</v>
      </c>
      <c r="AH13" s="156" t="s">
        <v>35</v>
      </c>
      <c r="AI13" s="183" t="s">
        <v>35</v>
      </c>
      <c r="AJ13" s="169" t="s">
        <v>35</v>
      </c>
      <c r="AK13" s="88" t="s">
        <v>8</v>
      </c>
    </row>
    <row r="14" spans="1:37" ht="12.75" customHeight="1" x14ac:dyDescent="0.2">
      <c r="A14" s="15"/>
      <c r="B14" s="17" t="s">
        <v>26</v>
      </c>
      <c r="C14" s="96" t="s">
        <v>35</v>
      </c>
      <c r="D14" s="96" t="s">
        <v>35</v>
      </c>
      <c r="E14" s="161" t="s">
        <v>35</v>
      </c>
      <c r="F14" s="161" t="s">
        <v>35</v>
      </c>
      <c r="G14" s="161" t="s">
        <v>35</v>
      </c>
      <c r="H14" s="161" t="s">
        <v>35</v>
      </c>
      <c r="I14" s="161" t="s">
        <v>35</v>
      </c>
      <c r="J14" s="161" t="s">
        <v>35</v>
      </c>
      <c r="K14" s="161" t="s">
        <v>35</v>
      </c>
      <c r="L14" s="161" t="s">
        <v>35</v>
      </c>
      <c r="M14" s="161" t="s">
        <v>35</v>
      </c>
      <c r="N14" s="161" t="s">
        <v>35</v>
      </c>
      <c r="O14" s="161" t="s">
        <v>35</v>
      </c>
      <c r="P14" s="161" t="s">
        <v>35</v>
      </c>
      <c r="Q14" s="161" t="s">
        <v>35</v>
      </c>
      <c r="R14" s="161" t="s">
        <v>35</v>
      </c>
      <c r="S14" s="161" t="s">
        <v>35</v>
      </c>
      <c r="T14" s="161" t="s">
        <v>35</v>
      </c>
      <c r="U14" s="161" t="s">
        <v>35</v>
      </c>
      <c r="V14" s="161" t="s">
        <v>35</v>
      </c>
      <c r="W14" s="161" t="s">
        <v>35</v>
      </c>
      <c r="X14" s="161" t="s">
        <v>35</v>
      </c>
      <c r="Y14" s="161" t="s">
        <v>35</v>
      </c>
      <c r="Z14" s="161" t="s">
        <v>35</v>
      </c>
      <c r="AA14" s="148" t="s">
        <v>35</v>
      </c>
      <c r="AB14" s="148" t="s">
        <v>35</v>
      </c>
      <c r="AC14" s="148" t="s">
        <v>35</v>
      </c>
      <c r="AD14" s="148" t="s">
        <v>35</v>
      </c>
      <c r="AE14" s="148" t="s">
        <v>35</v>
      </c>
      <c r="AF14" s="148" t="s">
        <v>35</v>
      </c>
      <c r="AG14" s="148" t="s">
        <v>35</v>
      </c>
      <c r="AH14" s="148" t="s">
        <v>35</v>
      </c>
      <c r="AI14" s="184" t="s">
        <v>35</v>
      </c>
      <c r="AJ14" s="527" t="s">
        <v>35</v>
      </c>
      <c r="AK14" s="17" t="s">
        <v>26</v>
      </c>
    </row>
    <row r="15" spans="1:37" ht="12.75" customHeight="1" x14ac:dyDescent="0.2">
      <c r="A15" s="15"/>
      <c r="B15" s="88" t="s">
        <v>19</v>
      </c>
      <c r="C15" s="101" t="s">
        <v>35</v>
      </c>
      <c r="D15" s="101" t="s">
        <v>35</v>
      </c>
      <c r="E15" s="151" t="s">
        <v>35</v>
      </c>
      <c r="F15" s="151" t="s">
        <v>35</v>
      </c>
      <c r="G15" s="151" t="s">
        <v>35</v>
      </c>
      <c r="H15" s="151" t="s">
        <v>35</v>
      </c>
      <c r="I15" s="151" t="s">
        <v>35</v>
      </c>
      <c r="J15" s="151" t="s">
        <v>35</v>
      </c>
      <c r="K15" s="151" t="s">
        <v>35</v>
      </c>
      <c r="L15" s="151" t="s">
        <v>35</v>
      </c>
      <c r="M15" s="151" t="s">
        <v>35</v>
      </c>
      <c r="N15" s="151" t="s">
        <v>35</v>
      </c>
      <c r="O15" s="151" t="s">
        <v>35</v>
      </c>
      <c r="P15" s="151" t="s">
        <v>35</v>
      </c>
      <c r="Q15" s="151" t="s">
        <v>35</v>
      </c>
      <c r="R15" s="151" t="s">
        <v>35</v>
      </c>
      <c r="S15" s="151" t="s">
        <v>35</v>
      </c>
      <c r="T15" s="151" t="s">
        <v>35</v>
      </c>
      <c r="U15" s="151" t="s">
        <v>35</v>
      </c>
      <c r="V15" s="151" t="s">
        <v>35</v>
      </c>
      <c r="W15" s="151" t="s">
        <v>35</v>
      </c>
      <c r="X15" s="156" t="s">
        <v>113</v>
      </c>
      <c r="Y15" s="151" t="s">
        <v>35</v>
      </c>
      <c r="Z15" s="151" t="s">
        <v>35</v>
      </c>
      <c r="AA15" s="156" t="s">
        <v>35</v>
      </c>
      <c r="AB15" s="156" t="s">
        <v>35</v>
      </c>
      <c r="AC15" s="156" t="s">
        <v>35</v>
      </c>
      <c r="AD15" s="156" t="s">
        <v>35</v>
      </c>
      <c r="AE15" s="156" t="s">
        <v>35</v>
      </c>
      <c r="AF15" s="156" t="s">
        <v>35</v>
      </c>
      <c r="AG15" s="156" t="s">
        <v>35</v>
      </c>
      <c r="AH15" s="156" t="s">
        <v>35</v>
      </c>
      <c r="AI15" s="183" t="s">
        <v>35</v>
      </c>
      <c r="AJ15" s="169" t="s">
        <v>35</v>
      </c>
      <c r="AK15" s="88" t="s">
        <v>19</v>
      </c>
    </row>
    <row r="16" spans="1:37" ht="12.75" customHeight="1" x14ac:dyDescent="0.2">
      <c r="A16" s="15"/>
      <c r="B16" s="17" t="s">
        <v>24</v>
      </c>
      <c r="C16" s="96" t="s">
        <v>35</v>
      </c>
      <c r="D16" s="96" t="s">
        <v>35</v>
      </c>
      <c r="E16" s="161" t="s">
        <v>35</v>
      </c>
      <c r="F16" s="161" t="s">
        <v>35</v>
      </c>
      <c r="G16" s="161" t="s">
        <v>35</v>
      </c>
      <c r="H16" s="161" t="s">
        <v>35</v>
      </c>
      <c r="I16" s="161" t="s">
        <v>35</v>
      </c>
      <c r="J16" s="161" t="s">
        <v>35</v>
      </c>
      <c r="K16" s="161" t="s">
        <v>35</v>
      </c>
      <c r="L16" s="161" t="s">
        <v>35</v>
      </c>
      <c r="M16" s="161" t="s">
        <v>35</v>
      </c>
      <c r="N16" s="161" t="s">
        <v>35</v>
      </c>
      <c r="O16" s="161" t="s">
        <v>35</v>
      </c>
      <c r="P16" s="161" t="s">
        <v>35</v>
      </c>
      <c r="Q16" s="161" t="s">
        <v>35</v>
      </c>
      <c r="R16" s="161" t="s">
        <v>35</v>
      </c>
      <c r="S16" s="161" t="s">
        <v>35</v>
      </c>
      <c r="T16" s="161" t="s">
        <v>35</v>
      </c>
      <c r="U16" s="161" t="s">
        <v>35</v>
      </c>
      <c r="V16" s="161" t="s">
        <v>35</v>
      </c>
      <c r="W16" s="161" t="s">
        <v>35</v>
      </c>
      <c r="X16" s="161" t="s">
        <v>35</v>
      </c>
      <c r="Y16" s="161" t="s">
        <v>35</v>
      </c>
      <c r="Z16" s="161" t="s">
        <v>35</v>
      </c>
      <c r="AA16" s="148" t="s">
        <v>35</v>
      </c>
      <c r="AB16" s="148" t="s">
        <v>35</v>
      </c>
      <c r="AC16" s="148" t="s">
        <v>35</v>
      </c>
      <c r="AD16" s="148" t="s">
        <v>35</v>
      </c>
      <c r="AE16" s="148" t="s">
        <v>35</v>
      </c>
      <c r="AF16" s="148" t="s">
        <v>35</v>
      </c>
      <c r="AG16" s="148" t="s">
        <v>35</v>
      </c>
      <c r="AH16" s="148" t="s">
        <v>35</v>
      </c>
      <c r="AI16" s="184" t="s">
        <v>35</v>
      </c>
      <c r="AJ16" s="527" t="s">
        <v>35</v>
      </c>
      <c r="AK16" s="17" t="s">
        <v>24</v>
      </c>
    </row>
    <row r="17" spans="1:37" ht="12.75" customHeight="1" x14ac:dyDescent="0.2">
      <c r="A17" s="15"/>
      <c r="B17" s="88" t="s">
        <v>25</v>
      </c>
      <c r="C17" s="101">
        <v>12.228999999999999</v>
      </c>
      <c r="D17" s="98">
        <v>10.869</v>
      </c>
      <c r="E17" s="151">
        <v>7.5810330869999998</v>
      </c>
      <c r="F17" s="151">
        <v>8.3465465230000007</v>
      </c>
      <c r="G17" s="151">
        <v>8.6314321770000006</v>
      </c>
      <c r="H17" s="151">
        <v>7.6842289690000003</v>
      </c>
      <c r="I17" s="151">
        <v>7.235301561</v>
      </c>
      <c r="J17" s="151">
        <v>6.63</v>
      </c>
      <c r="K17" s="151">
        <v>6.0270000000000001</v>
      </c>
      <c r="L17" s="151">
        <v>7.0579999999999998</v>
      </c>
      <c r="M17" s="151">
        <v>7.9359999999999999</v>
      </c>
      <c r="N17" s="151">
        <v>8.4779999999999998</v>
      </c>
      <c r="O17" s="151">
        <v>9.11</v>
      </c>
      <c r="P17" s="151">
        <v>8.2940000000000005</v>
      </c>
      <c r="Q17" s="151">
        <v>8.2690000000000001</v>
      </c>
      <c r="R17" s="151">
        <v>8.0239999999999991</v>
      </c>
      <c r="S17" s="151">
        <v>8.4160000000000004</v>
      </c>
      <c r="T17" s="151">
        <v>8.9049999999999994</v>
      </c>
      <c r="U17" s="151">
        <v>9.0050000000000008</v>
      </c>
      <c r="V17" s="151">
        <v>9.2080000000000002</v>
      </c>
      <c r="W17" s="151">
        <v>8.91</v>
      </c>
      <c r="X17" s="151">
        <v>8.7110000000000003</v>
      </c>
      <c r="Y17" s="151">
        <v>9.4740000000000002</v>
      </c>
      <c r="Z17" s="151">
        <v>9.0350000000000001</v>
      </c>
      <c r="AA17" s="151">
        <v>8.9160000000000004</v>
      </c>
      <c r="AB17" s="151">
        <v>9.2129999999999992</v>
      </c>
      <c r="AC17" s="151">
        <v>8.8030000000000008</v>
      </c>
      <c r="AD17" s="151">
        <v>8.516</v>
      </c>
      <c r="AE17" s="151">
        <v>8.3070000000000004</v>
      </c>
      <c r="AF17" s="151">
        <v>7.5129999999999999</v>
      </c>
      <c r="AG17" s="151">
        <v>7.2640000000000002</v>
      </c>
      <c r="AH17" s="151">
        <v>8.0139999999999993</v>
      </c>
      <c r="AI17" s="152">
        <v>6.9880000000000004</v>
      </c>
      <c r="AJ17" s="169">
        <f t="shared" si="3"/>
        <v>-12.80259545794857</v>
      </c>
      <c r="AK17" s="88" t="s">
        <v>25</v>
      </c>
    </row>
    <row r="18" spans="1:37" ht="12.75" customHeight="1" x14ac:dyDescent="0.2">
      <c r="A18" s="15"/>
      <c r="B18" s="187" t="s">
        <v>36</v>
      </c>
      <c r="C18" s="188">
        <v>0.3</v>
      </c>
      <c r="D18" s="188">
        <v>0.6</v>
      </c>
      <c r="E18" s="189">
        <v>0.5</v>
      </c>
      <c r="F18" s="189" t="s">
        <v>34</v>
      </c>
      <c r="G18" s="189" t="s">
        <v>34</v>
      </c>
      <c r="H18" s="189" t="s">
        <v>34</v>
      </c>
      <c r="I18" s="189" t="s">
        <v>34</v>
      </c>
      <c r="J18" s="189">
        <v>3.3000000000000002E-2</v>
      </c>
      <c r="K18" s="189">
        <v>2.1999999999999999E-2</v>
      </c>
      <c r="L18" s="189">
        <v>2.1999999999999999E-2</v>
      </c>
      <c r="M18" s="189">
        <v>5.2999999999999999E-2</v>
      </c>
      <c r="N18" s="189">
        <v>5.1999999999999998E-2</v>
      </c>
      <c r="O18" s="189">
        <v>6.3535999999999995E-2</v>
      </c>
      <c r="P18" s="189">
        <v>7.7483999999999997E-2</v>
      </c>
      <c r="Q18" s="189">
        <v>8.9745000000000005E-2</v>
      </c>
      <c r="R18" s="189">
        <v>0.10009999999999999</v>
      </c>
      <c r="S18" s="189">
        <v>0.1787</v>
      </c>
      <c r="T18" s="189">
        <v>0.1186</v>
      </c>
      <c r="U18" s="189">
        <v>0.1164</v>
      </c>
      <c r="V18" s="190">
        <v>0.109</v>
      </c>
      <c r="W18" s="189">
        <v>0.84199999999999997</v>
      </c>
      <c r="X18" s="189">
        <v>0.72699999999999998</v>
      </c>
      <c r="Y18" s="189">
        <v>0.94</v>
      </c>
      <c r="Z18" s="189">
        <v>0.69199999999999995</v>
      </c>
      <c r="AA18" s="189">
        <v>0.77200000000000002</v>
      </c>
      <c r="AB18" s="189">
        <v>0.77100000000000002</v>
      </c>
      <c r="AC18" s="189">
        <v>0.71599999999999997</v>
      </c>
      <c r="AD18" s="189">
        <v>0.879</v>
      </c>
      <c r="AE18" s="189">
        <v>0.83599999999999997</v>
      </c>
      <c r="AF18" s="189">
        <v>0.81299999999999994</v>
      </c>
      <c r="AG18" s="189">
        <v>0.67800000000000005</v>
      </c>
      <c r="AH18" s="189">
        <v>0.83499999999999996</v>
      </c>
      <c r="AI18" s="219">
        <v>0.90300000000000002</v>
      </c>
      <c r="AJ18" s="485">
        <f t="shared" si="3"/>
        <v>8.1437125748503121</v>
      </c>
      <c r="AK18" s="187" t="s">
        <v>36</v>
      </c>
    </row>
    <row r="19" spans="1:37" ht="12.75" customHeight="1" x14ac:dyDescent="0.2">
      <c r="A19" s="15"/>
      <c r="B19" s="88" t="s">
        <v>27</v>
      </c>
      <c r="C19" s="101">
        <v>0.35</v>
      </c>
      <c r="D19" s="101">
        <v>0.20300000000000001</v>
      </c>
      <c r="E19" s="151">
        <v>0.11799999999999999</v>
      </c>
      <c r="F19" s="151">
        <v>0.09</v>
      </c>
      <c r="G19" s="151">
        <v>7.0000000000000007E-2</v>
      </c>
      <c r="H19" s="151">
        <v>9.7000000000000003E-2</v>
      </c>
      <c r="I19" s="151">
        <v>0.108</v>
      </c>
      <c r="J19" s="151">
        <v>0.13530800000000001</v>
      </c>
      <c r="K19" s="151">
        <v>0.12509200000000001</v>
      </c>
      <c r="L19" s="151">
        <v>0.20142699999999999</v>
      </c>
      <c r="M19" s="151">
        <v>0.126141</v>
      </c>
      <c r="N19" s="151">
        <v>0.17729900000000001</v>
      </c>
      <c r="O19" s="151">
        <v>0.16956599999999999</v>
      </c>
      <c r="P19" s="151">
        <v>0.161024</v>
      </c>
      <c r="Q19" s="151">
        <v>9.0063000000000004E-2</v>
      </c>
      <c r="R19" s="151">
        <v>9.0819999999999998E-2</v>
      </c>
      <c r="S19" s="151">
        <v>0.10983</v>
      </c>
      <c r="T19" s="151">
        <v>8.8749999999999996E-2</v>
      </c>
      <c r="U19" s="151">
        <v>7.5974E-2</v>
      </c>
      <c r="V19" s="151">
        <v>9.2999999999999999E-2</v>
      </c>
      <c r="W19" s="151">
        <v>6.4000000000000001E-2</v>
      </c>
      <c r="X19" s="151">
        <v>5.3999999999999999E-2</v>
      </c>
      <c r="Y19" s="151">
        <v>0.108</v>
      </c>
      <c r="Z19" s="151">
        <v>0.14399999999999999</v>
      </c>
      <c r="AA19" s="156">
        <v>8.1000000000000003E-2</v>
      </c>
      <c r="AB19" s="156">
        <v>8.8999999999999996E-2</v>
      </c>
      <c r="AC19" s="156">
        <v>6.4000000000000001E-2</v>
      </c>
      <c r="AD19" s="156">
        <v>6.2E-2</v>
      </c>
      <c r="AE19" s="156">
        <v>6.7000000000000004E-2</v>
      </c>
      <c r="AF19" s="156">
        <v>6.0999999999999999E-2</v>
      </c>
      <c r="AG19" s="156">
        <v>7.3999999999999996E-2</v>
      </c>
      <c r="AH19" s="156">
        <v>5.5E-2</v>
      </c>
      <c r="AI19" s="183">
        <v>0.124</v>
      </c>
      <c r="AJ19" s="169">
        <f t="shared" si="3"/>
        <v>125.45454545454544</v>
      </c>
      <c r="AK19" s="88" t="s">
        <v>27</v>
      </c>
    </row>
    <row r="20" spans="1:37" ht="12.75" customHeight="1" x14ac:dyDescent="0.2">
      <c r="A20" s="15"/>
      <c r="B20" s="17" t="s">
        <v>6</v>
      </c>
      <c r="C20" s="114" t="s">
        <v>35</v>
      </c>
      <c r="D20" s="114" t="s">
        <v>35</v>
      </c>
      <c r="E20" s="114" t="s">
        <v>35</v>
      </c>
      <c r="F20" s="57" t="s">
        <v>35</v>
      </c>
      <c r="G20" s="57" t="s">
        <v>35</v>
      </c>
      <c r="H20" s="57" t="s">
        <v>35</v>
      </c>
      <c r="I20" s="57" t="s">
        <v>35</v>
      </c>
      <c r="J20" s="57" t="s">
        <v>35</v>
      </c>
      <c r="K20" s="57" t="s">
        <v>35</v>
      </c>
      <c r="L20" s="57" t="s">
        <v>35</v>
      </c>
      <c r="M20" s="57" t="s">
        <v>35</v>
      </c>
      <c r="N20" s="57" t="s">
        <v>35</v>
      </c>
      <c r="O20" s="57" t="s">
        <v>35</v>
      </c>
      <c r="P20" s="57" t="s">
        <v>35</v>
      </c>
      <c r="Q20" s="57" t="s">
        <v>35</v>
      </c>
      <c r="R20" s="57" t="s">
        <v>35</v>
      </c>
      <c r="S20" s="57" t="s">
        <v>35</v>
      </c>
      <c r="T20" s="57" t="s">
        <v>35</v>
      </c>
      <c r="U20" s="57" t="s">
        <v>35</v>
      </c>
      <c r="V20" s="57" t="s">
        <v>35</v>
      </c>
      <c r="W20" s="57" t="s">
        <v>35</v>
      </c>
      <c r="X20" s="57" t="s">
        <v>35</v>
      </c>
      <c r="Y20" s="57" t="s">
        <v>35</v>
      </c>
      <c r="Z20" s="57" t="s">
        <v>35</v>
      </c>
      <c r="AA20" s="57" t="s">
        <v>35</v>
      </c>
      <c r="AB20" s="154" t="s">
        <v>35</v>
      </c>
      <c r="AC20" s="154" t="s">
        <v>35</v>
      </c>
      <c r="AD20" s="154" t="s">
        <v>35</v>
      </c>
      <c r="AE20" s="154" t="s">
        <v>35</v>
      </c>
      <c r="AF20" s="154" t="s">
        <v>35</v>
      </c>
      <c r="AG20" s="154" t="s">
        <v>35</v>
      </c>
      <c r="AH20" s="154" t="s">
        <v>35</v>
      </c>
      <c r="AI20" s="174" t="s">
        <v>35</v>
      </c>
      <c r="AJ20" s="170" t="s">
        <v>35</v>
      </c>
      <c r="AK20" s="17" t="s">
        <v>6</v>
      </c>
    </row>
    <row r="21" spans="1:37" ht="12.75" customHeight="1" x14ac:dyDescent="0.2">
      <c r="A21" s="15"/>
      <c r="B21" s="88" t="s">
        <v>10</v>
      </c>
      <c r="C21" s="150">
        <v>0.05</v>
      </c>
      <c r="D21" s="150">
        <v>0.09</v>
      </c>
      <c r="E21" s="150" t="s">
        <v>35</v>
      </c>
      <c r="F21" s="151" t="s">
        <v>35</v>
      </c>
      <c r="G21" s="151" t="s">
        <v>35</v>
      </c>
      <c r="H21" s="151" t="s">
        <v>35</v>
      </c>
      <c r="I21" s="151" t="s">
        <v>35</v>
      </c>
      <c r="J21" s="151" t="s">
        <v>35</v>
      </c>
      <c r="K21" s="151" t="s">
        <v>35</v>
      </c>
      <c r="L21" s="151" t="s">
        <v>35</v>
      </c>
      <c r="M21" s="151" t="s">
        <v>35</v>
      </c>
      <c r="N21" s="151" t="s">
        <v>35</v>
      </c>
      <c r="O21" s="151" t="s">
        <v>35</v>
      </c>
      <c r="P21" s="151" t="s">
        <v>35</v>
      </c>
      <c r="Q21" s="151" t="s">
        <v>35</v>
      </c>
      <c r="R21" s="151" t="s">
        <v>35</v>
      </c>
      <c r="S21" s="151" t="s">
        <v>35</v>
      </c>
      <c r="T21" s="151" t="s">
        <v>35</v>
      </c>
      <c r="U21" s="151" t="s">
        <v>35</v>
      </c>
      <c r="V21" s="151" t="s">
        <v>35</v>
      </c>
      <c r="W21" s="151" t="s">
        <v>35</v>
      </c>
      <c r="X21" s="151" t="s">
        <v>35</v>
      </c>
      <c r="Y21" s="151" t="s">
        <v>35</v>
      </c>
      <c r="Z21" s="151" t="s">
        <v>35</v>
      </c>
      <c r="AA21" s="151" t="s">
        <v>35</v>
      </c>
      <c r="AB21" s="156" t="s">
        <v>35</v>
      </c>
      <c r="AC21" s="156" t="s">
        <v>35</v>
      </c>
      <c r="AD21" s="156" t="s">
        <v>35</v>
      </c>
      <c r="AE21" s="156" t="s">
        <v>35</v>
      </c>
      <c r="AF21" s="156" t="s">
        <v>35</v>
      </c>
      <c r="AG21" s="156" t="s">
        <v>35</v>
      </c>
      <c r="AH21" s="156" t="s">
        <v>35</v>
      </c>
      <c r="AI21" s="183" t="s">
        <v>35</v>
      </c>
      <c r="AJ21" s="169" t="s">
        <v>35</v>
      </c>
      <c r="AK21" s="88" t="s">
        <v>10</v>
      </c>
    </row>
    <row r="22" spans="1:37" ht="12.75" customHeight="1" x14ac:dyDescent="0.2">
      <c r="A22" s="15"/>
      <c r="B22" s="17" t="s">
        <v>11</v>
      </c>
      <c r="C22" s="114">
        <v>0.12</v>
      </c>
      <c r="D22" s="114">
        <v>0.15</v>
      </c>
      <c r="E22" s="114">
        <v>0.16400000000000001</v>
      </c>
      <c r="F22" s="57">
        <v>0.14099999999999999</v>
      </c>
      <c r="G22" s="57">
        <v>4.4999999999999998E-2</v>
      </c>
      <c r="H22" s="57">
        <v>0.05</v>
      </c>
      <c r="I22" s="57">
        <v>0.03</v>
      </c>
      <c r="J22" s="57">
        <v>1.7999999999999999E-2</v>
      </c>
      <c r="K22" s="57">
        <v>7.0000000000000001E-3</v>
      </c>
      <c r="L22" s="57">
        <v>8.9999999999999993E-3</v>
      </c>
      <c r="M22" s="57">
        <v>1.4E-2</v>
      </c>
      <c r="N22" s="57">
        <v>3.0000000000000001E-3</v>
      </c>
      <c r="O22" s="57">
        <v>1.4835999999999998E-3</v>
      </c>
      <c r="P22" s="57">
        <v>5.3560000000000012E-4</v>
      </c>
      <c r="Q22" s="57">
        <v>5.1500000000000005E-4</v>
      </c>
      <c r="R22" s="57">
        <v>6.6519999999999991E-4</v>
      </c>
      <c r="S22" s="57">
        <v>6.2100000000000002E-4</v>
      </c>
      <c r="T22" s="57">
        <v>1.3244000000000001E-3</v>
      </c>
      <c r="U22" s="57">
        <v>1.7951E-3</v>
      </c>
      <c r="V22" s="57">
        <v>0.01</v>
      </c>
      <c r="W22" s="57">
        <v>1.2E-2</v>
      </c>
      <c r="X22" s="57">
        <v>3.0000000000000001E-3</v>
      </c>
      <c r="Y22" s="57">
        <v>3.0000000000000001E-3</v>
      </c>
      <c r="Z22" s="57">
        <v>3.0000000000000001E-3</v>
      </c>
      <c r="AA22" s="57">
        <v>1E-3</v>
      </c>
      <c r="AB22" s="57">
        <v>0</v>
      </c>
      <c r="AC22" s="57">
        <v>0</v>
      </c>
      <c r="AD22" s="57">
        <v>0</v>
      </c>
      <c r="AE22" s="57">
        <v>0</v>
      </c>
      <c r="AF22" s="57">
        <v>0</v>
      </c>
      <c r="AG22" s="57">
        <v>0</v>
      </c>
      <c r="AH22" s="57">
        <v>0</v>
      </c>
      <c r="AI22" s="163">
        <v>0</v>
      </c>
      <c r="AJ22" s="170"/>
      <c r="AK22" s="17" t="s">
        <v>11</v>
      </c>
    </row>
    <row r="23" spans="1:37" ht="12.75" customHeight="1" x14ac:dyDescent="0.2">
      <c r="A23" s="15"/>
      <c r="B23" s="88" t="s">
        <v>28</v>
      </c>
      <c r="C23" s="150">
        <v>0.30199999999999999</v>
      </c>
      <c r="D23" s="150">
        <v>0.33100000000000002</v>
      </c>
      <c r="E23" s="150">
        <v>0.36229783599999998</v>
      </c>
      <c r="F23" s="151">
        <v>0.34042404599999998</v>
      </c>
      <c r="G23" s="151">
        <v>0.33800000000000002</v>
      </c>
      <c r="H23" s="151">
        <v>0.32300000000000001</v>
      </c>
      <c r="I23" s="151">
        <v>0.317</v>
      </c>
      <c r="J23" s="151">
        <v>0.33800000000000002</v>
      </c>
      <c r="K23" s="151">
        <v>0.32100000000000001</v>
      </c>
      <c r="L23" s="151">
        <v>0.35599999999999998</v>
      </c>
      <c r="M23" s="151">
        <v>0.36899999999999999</v>
      </c>
      <c r="N23" s="151">
        <v>0.35099999999999998</v>
      </c>
      <c r="O23" s="151">
        <v>0.378</v>
      </c>
      <c r="P23" s="151">
        <v>0.371</v>
      </c>
      <c r="Q23" s="151">
        <v>0.37</v>
      </c>
      <c r="R23" s="151">
        <v>0.316</v>
      </c>
      <c r="S23" s="151">
        <v>0.37</v>
      </c>
      <c r="T23" s="151">
        <v>0.34200000000000003</v>
      </c>
      <c r="U23" s="151">
        <v>0.38100000000000001</v>
      </c>
      <c r="V23" s="151">
        <v>0.34499999999999997</v>
      </c>
      <c r="W23" s="151">
        <v>0.36699999999999999</v>
      </c>
      <c r="X23" s="151">
        <v>0.27900000000000003</v>
      </c>
      <c r="Y23" s="151">
        <v>0.35899999999999999</v>
      </c>
      <c r="Z23" s="151">
        <v>0.30499999999999999</v>
      </c>
      <c r="AA23" s="151">
        <v>0.28999999999999998</v>
      </c>
      <c r="AB23" s="151">
        <v>0.313</v>
      </c>
      <c r="AC23" s="151">
        <v>0.28499999999999998</v>
      </c>
      <c r="AD23" s="151">
        <v>0.23499999999999999</v>
      </c>
      <c r="AE23" s="151">
        <v>0.19</v>
      </c>
      <c r="AF23" s="151">
        <v>0.19500000000000001</v>
      </c>
      <c r="AG23" s="151">
        <v>0.20499999999999999</v>
      </c>
      <c r="AH23" s="151">
        <v>0.22800000000000001</v>
      </c>
      <c r="AI23" s="152">
        <v>0.20100000000000001</v>
      </c>
      <c r="AJ23" s="169">
        <f t="shared" si="3"/>
        <v>-11.84210526315789</v>
      </c>
      <c r="AK23" s="88" t="s">
        <v>28</v>
      </c>
    </row>
    <row r="24" spans="1:37" ht="12.75" customHeight="1" x14ac:dyDescent="0.2">
      <c r="A24" s="15"/>
      <c r="B24" s="17" t="s">
        <v>9</v>
      </c>
      <c r="C24" s="153">
        <v>1.76</v>
      </c>
      <c r="D24" s="153">
        <v>2.15</v>
      </c>
      <c r="E24" s="153">
        <v>2.04</v>
      </c>
      <c r="F24" s="154">
        <v>1.72</v>
      </c>
      <c r="G24" s="154">
        <v>1.6</v>
      </c>
      <c r="H24" s="154">
        <v>1.62</v>
      </c>
      <c r="I24" s="154">
        <v>1.35</v>
      </c>
      <c r="J24" s="154">
        <v>1.2110000000000001</v>
      </c>
      <c r="K24" s="154">
        <v>1.397</v>
      </c>
      <c r="L24" s="154">
        <v>1.4410000000000001</v>
      </c>
      <c r="M24" s="154">
        <v>1.56</v>
      </c>
      <c r="N24" s="154">
        <v>0.95799999999999996</v>
      </c>
      <c r="O24" s="154">
        <v>0.89100000000000001</v>
      </c>
      <c r="P24" s="154">
        <v>1.087</v>
      </c>
      <c r="Q24" s="154">
        <v>1.407</v>
      </c>
      <c r="R24" s="154">
        <v>1.5169999999999999</v>
      </c>
      <c r="S24" s="154">
        <v>1.9039999999999999</v>
      </c>
      <c r="T24" s="154">
        <v>2.11</v>
      </c>
      <c r="U24" s="154">
        <v>1.913</v>
      </c>
      <c r="V24" s="154">
        <v>2.2120000000000002</v>
      </c>
      <c r="W24" s="154">
        <v>2.25</v>
      </c>
      <c r="X24" s="154">
        <v>1.831</v>
      </c>
      <c r="Y24" s="154">
        <v>2.3929999999999998</v>
      </c>
      <c r="Z24" s="154">
        <v>1.84</v>
      </c>
      <c r="AA24" s="154">
        <v>1.982</v>
      </c>
      <c r="AB24" s="154">
        <v>1.9239999999999999</v>
      </c>
      <c r="AC24" s="154">
        <v>1.8109999999999999</v>
      </c>
      <c r="AD24" s="154">
        <v>1.8240000000000001</v>
      </c>
      <c r="AE24" s="154">
        <v>1.9750000000000001</v>
      </c>
      <c r="AF24" s="154">
        <v>1.992</v>
      </c>
      <c r="AG24" s="154">
        <v>1.6080000000000001</v>
      </c>
      <c r="AH24" s="154">
        <v>2.12</v>
      </c>
      <c r="AI24" s="174">
        <v>1.998</v>
      </c>
      <c r="AJ24" s="170">
        <f t="shared" si="3"/>
        <v>-5.7547169811320771</v>
      </c>
      <c r="AK24" s="17" t="s">
        <v>9</v>
      </c>
    </row>
    <row r="25" spans="1:37" ht="12.75" customHeight="1" x14ac:dyDescent="0.2">
      <c r="A25" s="15"/>
      <c r="B25" s="56" t="s">
        <v>12</v>
      </c>
      <c r="C25" s="158" t="s">
        <v>35</v>
      </c>
      <c r="D25" s="158" t="s">
        <v>35</v>
      </c>
      <c r="E25" s="158" t="s">
        <v>35</v>
      </c>
      <c r="F25" s="159" t="s">
        <v>35</v>
      </c>
      <c r="G25" s="159" t="s">
        <v>35</v>
      </c>
      <c r="H25" s="159" t="s">
        <v>35</v>
      </c>
      <c r="I25" s="159" t="s">
        <v>35</v>
      </c>
      <c r="J25" s="159" t="s">
        <v>35</v>
      </c>
      <c r="K25" s="159" t="s">
        <v>35</v>
      </c>
      <c r="L25" s="159" t="s">
        <v>35</v>
      </c>
      <c r="M25" s="159" t="s">
        <v>35</v>
      </c>
      <c r="N25" s="159" t="s">
        <v>35</v>
      </c>
      <c r="O25" s="159" t="s">
        <v>35</v>
      </c>
      <c r="P25" s="159" t="s">
        <v>35</v>
      </c>
      <c r="Q25" s="159" t="s">
        <v>35</v>
      </c>
      <c r="R25" s="159" t="s">
        <v>35</v>
      </c>
      <c r="S25" s="159" t="s">
        <v>35</v>
      </c>
      <c r="T25" s="159" t="s">
        <v>35</v>
      </c>
      <c r="U25" s="159" t="s">
        <v>35</v>
      </c>
      <c r="V25" s="159" t="s">
        <v>35</v>
      </c>
      <c r="W25" s="159" t="s">
        <v>35</v>
      </c>
      <c r="X25" s="159" t="s">
        <v>35</v>
      </c>
      <c r="Y25" s="159" t="s">
        <v>35</v>
      </c>
      <c r="Z25" s="159" t="s">
        <v>35</v>
      </c>
      <c r="AA25" s="159" t="s">
        <v>35</v>
      </c>
      <c r="AB25" s="159" t="s">
        <v>35</v>
      </c>
      <c r="AC25" s="159" t="s">
        <v>35</v>
      </c>
      <c r="AD25" s="159" t="s">
        <v>35</v>
      </c>
      <c r="AE25" s="159" t="s">
        <v>35</v>
      </c>
      <c r="AF25" s="156" t="s">
        <v>35</v>
      </c>
      <c r="AG25" s="156" t="s">
        <v>35</v>
      </c>
      <c r="AH25" s="156" t="s">
        <v>35</v>
      </c>
      <c r="AI25" s="183" t="s">
        <v>35</v>
      </c>
      <c r="AJ25" s="169" t="s">
        <v>35</v>
      </c>
      <c r="AK25" s="56" t="s">
        <v>12</v>
      </c>
    </row>
    <row r="26" spans="1:37" ht="12.75" customHeight="1" x14ac:dyDescent="0.2">
      <c r="A26" s="15"/>
      <c r="B26" s="17" t="s">
        <v>20</v>
      </c>
      <c r="C26" s="114">
        <v>30.617999999999999</v>
      </c>
      <c r="D26" s="114">
        <v>33.478999999999999</v>
      </c>
      <c r="E26" s="114">
        <v>35.661000000000001</v>
      </c>
      <c r="F26" s="57">
        <v>34.755000000000003</v>
      </c>
      <c r="G26" s="57">
        <v>33.53</v>
      </c>
      <c r="H26" s="57">
        <v>32.058</v>
      </c>
      <c r="I26" s="57">
        <v>36.011000000000003</v>
      </c>
      <c r="J26" s="57">
        <v>35.457000000000001</v>
      </c>
      <c r="K26" s="57">
        <v>35.512999999999998</v>
      </c>
      <c r="L26" s="57">
        <v>40.985999999999997</v>
      </c>
      <c r="M26" s="57">
        <v>40.683</v>
      </c>
      <c r="N26" s="57">
        <v>41.427999999999997</v>
      </c>
      <c r="O26" s="57">
        <v>41.271000000000001</v>
      </c>
      <c r="P26" s="57">
        <v>41.792999999999999</v>
      </c>
      <c r="Q26" s="57">
        <v>40.982999999999997</v>
      </c>
      <c r="R26" s="57">
        <v>39.030999999999999</v>
      </c>
      <c r="S26" s="57">
        <v>43.048999999999999</v>
      </c>
      <c r="T26" s="57">
        <v>42.232999999999997</v>
      </c>
      <c r="U26" s="57">
        <v>42.215000000000003</v>
      </c>
      <c r="V26" s="57">
        <v>46.485999999999997</v>
      </c>
      <c r="W26" s="57">
        <v>46.234000000000002</v>
      </c>
      <c r="X26" s="57">
        <v>37.863</v>
      </c>
      <c r="Y26" s="57">
        <v>46.561999999999998</v>
      </c>
      <c r="Z26" s="57">
        <v>46.462000000000003</v>
      </c>
      <c r="AA26" s="154">
        <v>47.533000000000001</v>
      </c>
      <c r="AB26" s="154">
        <v>48.627000000000002</v>
      </c>
      <c r="AC26" s="154">
        <v>49.295000000000002</v>
      </c>
      <c r="AD26" s="154">
        <v>48.534999999999997</v>
      </c>
      <c r="AE26" s="154">
        <v>48.798000000000002</v>
      </c>
      <c r="AF26" s="154">
        <v>49.015000000000001</v>
      </c>
      <c r="AG26" s="154">
        <v>46.892000000000003</v>
      </c>
      <c r="AH26" s="154">
        <v>46.993000000000002</v>
      </c>
      <c r="AI26" s="174">
        <v>45.165999999999997</v>
      </c>
      <c r="AJ26" s="170">
        <f t="shared" si="3"/>
        <v>-3.8878130785436156</v>
      </c>
      <c r="AK26" s="17" t="s">
        <v>20</v>
      </c>
    </row>
    <row r="27" spans="1:37" ht="12.75" customHeight="1" x14ac:dyDescent="0.2">
      <c r="A27" s="15"/>
      <c r="B27" s="88" t="s">
        <v>29</v>
      </c>
      <c r="C27" s="150">
        <v>1.2929999999999999</v>
      </c>
      <c r="D27" s="150">
        <v>1.5569999999999999</v>
      </c>
      <c r="E27" s="150">
        <v>1.663</v>
      </c>
      <c r="F27" s="151">
        <v>1.48</v>
      </c>
      <c r="G27" s="151">
        <v>1.4370000000000001</v>
      </c>
      <c r="H27" s="151">
        <v>1.454</v>
      </c>
      <c r="I27" s="151">
        <v>1.82</v>
      </c>
      <c r="J27" s="151">
        <v>2.0459999999999998</v>
      </c>
      <c r="K27" s="151">
        <v>2.101</v>
      </c>
      <c r="L27" s="151">
        <v>2.0870000000000002</v>
      </c>
      <c r="M27" s="151">
        <v>2.2799999999999998</v>
      </c>
      <c r="N27" s="151">
        <v>2.2309999999999999</v>
      </c>
      <c r="O27" s="159">
        <v>2.444</v>
      </c>
      <c r="P27" s="159">
        <v>2.5569999999999999</v>
      </c>
      <c r="Q27" s="159">
        <v>2.8460000000000001</v>
      </c>
      <c r="R27" s="159">
        <v>2.2759999999999998</v>
      </c>
      <c r="S27" s="151">
        <v>1.7470000000000001</v>
      </c>
      <c r="T27" s="151">
        <v>1.7529999999999999</v>
      </c>
      <c r="U27" s="151">
        <v>1.837</v>
      </c>
      <c r="V27" s="151">
        <v>2.597</v>
      </c>
      <c r="W27" s="151">
        <v>2.359</v>
      </c>
      <c r="X27" s="151">
        <v>2.0030000000000001</v>
      </c>
      <c r="Y27" s="151">
        <v>2.375</v>
      </c>
      <c r="Z27" s="151">
        <v>2.1230000000000002</v>
      </c>
      <c r="AA27" s="156">
        <v>2.1909999999999998</v>
      </c>
      <c r="AB27" s="156">
        <v>2.3530000000000002</v>
      </c>
      <c r="AC27" s="156">
        <v>2.177</v>
      </c>
      <c r="AD27" s="156">
        <v>1.806</v>
      </c>
      <c r="AE27" s="156">
        <v>1.962</v>
      </c>
      <c r="AF27" s="156">
        <v>2.0219999999999998</v>
      </c>
      <c r="AG27" s="156">
        <v>1.4890000000000001</v>
      </c>
      <c r="AH27" s="156">
        <v>1.7150000000000001</v>
      </c>
      <c r="AI27" s="183">
        <v>1.6060000000000001</v>
      </c>
      <c r="AJ27" s="169">
        <f t="shared" si="3"/>
        <v>-6.3556851311953295</v>
      </c>
      <c r="AK27" s="88" t="s">
        <v>29</v>
      </c>
    </row>
    <row r="28" spans="1:37" ht="12.75" customHeight="1" x14ac:dyDescent="0.2">
      <c r="A28" s="15"/>
      <c r="B28" s="187" t="s">
        <v>13</v>
      </c>
      <c r="C28" s="188">
        <v>2.2999999999999998</v>
      </c>
      <c r="D28" s="188">
        <v>2.33</v>
      </c>
      <c r="E28" s="189">
        <v>1.034</v>
      </c>
      <c r="F28" s="189">
        <v>0.74</v>
      </c>
      <c r="G28" s="189">
        <v>0.75</v>
      </c>
      <c r="H28" s="189">
        <v>0.66</v>
      </c>
      <c r="I28" s="189">
        <v>0.79</v>
      </c>
      <c r="J28" s="189">
        <v>0.88</v>
      </c>
      <c r="K28" s="189">
        <v>0.85</v>
      </c>
      <c r="L28" s="189">
        <v>0.93</v>
      </c>
      <c r="M28" s="189">
        <v>1.1000000000000001</v>
      </c>
      <c r="N28" s="189">
        <v>1.028</v>
      </c>
      <c r="O28" s="189">
        <v>1.173</v>
      </c>
      <c r="P28" s="189">
        <v>1.264</v>
      </c>
      <c r="Q28" s="189">
        <v>1.1259999999999999</v>
      </c>
      <c r="R28" s="190">
        <v>0.872</v>
      </c>
      <c r="S28" s="189">
        <v>0.37</v>
      </c>
      <c r="T28" s="189">
        <v>0.32700000000000001</v>
      </c>
      <c r="U28" s="189">
        <v>0.28899999999999998</v>
      </c>
      <c r="V28" s="189">
        <v>0.27700000000000002</v>
      </c>
      <c r="W28" s="189">
        <v>0.27700000000000002</v>
      </c>
      <c r="X28" s="189">
        <v>0.20200000000000001</v>
      </c>
      <c r="Y28" s="189">
        <v>0.13</v>
      </c>
      <c r="Z28" s="189">
        <v>0.161</v>
      </c>
      <c r="AA28" s="189">
        <v>0.13100000000000001</v>
      </c>
      <c r="AB28" s="189">
        <v>9.0999999999999998E-2</v>
      </c>
      <c r="AC28" s="189">
        <v>0.11</v>
      </c>
      <c r="AD28" s="189">
        <v>8.7999999999999995E-2</v>
      </c>
      <c r="AE28" s="189">
        <v>0.108</v>
      </c>
      <c r="AF28" s="189">
        <v>0.115</v>
      </c>
      <c r="AG28" s="189">
        <v>0.125</v>
      </c>
      <c r="AH28" s="189">
        <v>8.6999999999999994E-2</v>
      </c>
      <c r="AI28" s="219">
        <v>7.6999999999999999E-2</v>
      </c>
      <c r="AJ28" s="485">
        <f t="shared" si="3"/>
        <v>-11.494252873563212</v>
      </c>
      <c r="AK28" s="187" t="s">
        <v>13</v>
      </c>
    </row>
    <row r="29" spans="1:37" ht="12.75" customHeight="1" x14ac:dyDescent="0.2">
      <c r="A29" s="15"/>
      <c r="B29" s="56" t="s">
        <v>30</v>
      </c>
      <c r="C29" s="158" t="s">
        <v>35</v>
      </c>
      <c r="D29" s="158" t="s">
        <v>35</v>
      </c>
      <c r="E29" s="158" t="s">
        <v>35</v>
      </c>
      <c r="F29" s="159" t="s">
        <v>35</v>
      </c>
      <c r="G29" s="159" t="s">
        <v>35</v>
      </c>
      <c r="H29" s="159" t="s">
        <v>35</v>
      </c>
      <c r="I29" s="159" t="s">
        <v>35</v>
      </c>
      <c r="J29" s="159" t="s">
        <v>35</v>
      </c>
      <c r="K29" s="159" t="s">
        <v>35</v>
      </c>
      <c r="L29" s="159" t="s">
        <v>35</v>
      </c>
      <c r="M29" s="159" t="s">
        <v>35</v>
      </c>
      <c r="N29" s="159" t="s">
        <v>35</v>
      </c>
      <c r="O29" s="159" t="s">
        <v>35</v>
      </c>
      <c r="P29" s="159" t="s">
        <v>35</v>
      </c>
      <c r="Q29" s="159" t="s">
        <v>35</v>
      </c>
      <c r="R29" s="159" t="s">
        <v>35</v>
      </c>
      <c r="S29" s="159" t="s">
        <v>35</v>
      </c>
      <c r="T29" s="159" t="s">
        <v>35</v>
      </c>
      <c r="U29" s="159" t="s">
        <v>35</v>
      </c>
      <c r="V29" s="159" t="s">
        <v>35</v>
      </c>
      <c r="W29" s="159" t="s">
        <v>35</v>
      </c>
      <c r="X29" s="159" t="s">
        <v>35</v>
      </c>
      <c r="Y29" s="159" t="s">
        <v>35</v>
      </c>
      <c r="Z29" s="159" t="s">
        <v>35</v>
      </c>
      <c r="AA29" s="159" t="s">
        <v>35</v>
      </c>
      <c r="AB29" s="159" t="s">
        <v>35</v>
      </c>
      <c r="AC29" s="159" t="s">
        <v>35</v>
      </c>
      <c r="AD29" s="159" t="s">
        <v>35</v>
      </c>
      <c r="AE29" s="159" t="s">
        <v>35</v>
      </c>
      <c r="AF29" s="156" t="s">
        <v>35</v>
      </c>
      <c r="AG29" s="156" t="s">
        <v>35</v>
      </c>
      <c r="AH29" s="156" t="s">
        <v>35</v>
      </c>
      <c r="AI29" s="156" t="s">
        <v>35</v>
      </c>
      <c r="AJ29" s="339" t="s">
        <v>35</v>
      </c>
      <c r="AK29" s="56" t="s">
        <v>30</v>
      </c>
    </row>
    <row r="30" spans="1:37" ht="12.75" customHeight="1" x14ac:dyDescent="0.2">
      <c r="A30" s="15"/>
      <c r="B30" s="187" t="s">
        <v>14</v>
      </c>
      <c r="C30" s="188">
        <v>1.35</v>
      </c>
      <c r="D30" s="188">
        <v>2.35</v>
      </c>
      <c r="E30" s="189">
        <v>2.09</v>
      </c>
      <c r="F30" s="189">
        <v>2.0299999999999998</v>
      </c>
      <c r="G30" s="189">
        <v>1.89</v>
      </c>
      <c r="H30" s="189">
        <v>1.59</v>
      </c>
      <c r="I30" s="189">
        <v>1.9</v>
      </c>
      <c r="J30" s="189">
        <v>3.11</v>
      </c>
      <c r="K30" s="189">
        <v>3.77</v>
      </c>
      <c r="L30" s="189">
        <v>4.33</v>
      </c>
      <c r="M30" s="189">
        <v>4.2030000000000003</v>
      </c>
      <c r="N30" s="189">
        <v>2.802</v>
      </c>
      <c r="O30" s="190">
        <v>2.6339999999999999</v>
      </c>
      <c r="P30" s="189">
        <v>2.746</v>
      </c>
      <c r="Q30" s="189">
        <v>3.641</v>
      </c>
      <c r="R30" s="190">
        <v>3.5209999999999999</v>
      </c>
      <c r="S30" s="189">
        <v>6.9550000000000001</v>
      </c>
      <c r="T30" s="189">
        <v>8.4350000000000005</v>
      </c>
      <c r="U30" s="189">
        <v>8.157</v>
      </c>
      <c r="V30" s="189">
        <v>8.1950000000000003</v>
      </c>
      <c r="W30" s="190">
        <v>8.6869999999999994</v>
      </c>
      <c r="X30" s="189">
        <v>11.765000000000001</v>
      </c>
      <c r="Y30" s="189">
        <v>14.317</v>
      </c>
      <c r="Z30" s="189">
        <v>11.409000000000001</v>
      </c>
      <c r="AA30" s="189">
        <v>12.52</v>
      </c>
      <c r="AB30" s="189">
        <v>12.242000000000001</v>
      </c>
      <c r="AC30" s="189">
        <v>11.76</v>
      </c>
      <c r="AD30" s="189">
        <v>13.167999999999999</v>
      </c>
      <c r="AE30" s="189">
        <v>13.153</v>
      </c>
      <c r="AF30" s="189">
        <v>12.516999999999999</v>
      </c>
      <c r="AG30" s="189">
        <v>12.260999999999999</v>
      </c>
      <c r="AH30" s="189">
        <v>13.957000000000001</v>
      </c>
      <c r="AI30" s="219">
        <v>13.638</v>
      </c>
      <c r="AJ30" s="485">
        <f t="shared" si="3"/>
        <v>-2.2855914594827027</v>
      </c>
      <c r="AK30" s="187" t="s">
        <v>14</v>
      </c>
    </row>
    <row r="31" spans="1:37" ht="12.75" customHeight="1" x14ac:dyDescent="0.2">
      <c r="A31" s="15"/>
      <c r="B31" s="56" t="s">
        <v>16</v>
      </c>
      <c r="C31" s="158" t="s">
        <v>35</v>
      </c>
      <c r="D31" s="158" t="s">
        <v>35</v>
      </c>
      <c r="E31" s="158" t="s">
        <v>35</v>
      </c>
      <c r="F31" s="159" t="s">
        <v>35</v>
      </c>
      <c r="G31" s="159" t="s">
        <v>35</v>
      </c>
      <c r="H31" s="159" t="s">
        <v>35</v>
      </c>
      <c r="I31" s="159" t="s">
        <v>35</v>
      </c>
      <c r="J31" s="159" t="s">
        <v>35</v>
      </c>
      <c r="K31" s="159" t="s">
        <v>35</v>
      </c>
      <c r="L31" s="159" t="s">
        <v>35</v>
      </c>
      <c r="M31" s="159" t="s">
        <v>35</v>
      </c>
      <c r="N31" s="159" t="s">
        <v>35</v>
      </c>
      <c r="O31" s="159" t="s">
        <v>35</v>
      </c>
      <c r="P31" s="159" t="s">
        <v>35</v>
      </c>
      <c r="Q31" s="159" t="s">
        <v>35</v>
      </c>
      <c r="R31" s="159" t="s">
        <v>35</v>
      </c>
      <c r="S31" s="159" t="s">
        <v>35</v>
      </c>
      <c r="T31" s="159" t="s">
        <v>35</v>
      </c>
      <c r="U31" s="159" t="s">
        <v>35</v>
      </c>
      <c r="V31" s="159" t="s">
        <v>35</v>
      </c>
      <c r="W31" s="159" t="s">
        <v>35</v>
      </c>
      <c r="X31" s="159" t="s">
        <v>35</v>
      </c>
      <c r="Y31" s="159" t="s">
        <v>35</v>
      </c>
      <c r="Z31" s="159" t="s">
        <v>35</v>
      </c>
      <c r="AA31" s="159" t="s">
        <v>35</v>
      </c>
      <c r="AB31" s="159" t="s">
        <v>35</v>
      </c>
      <c r="AC31" s="159" t="s">
        <v>35</v>
      </c>
      <c r="AD31" s="159" t="s">
        <v>35</v>
      </c>
      <c r="AE31" s="159" t="s">
        <v>35</v>
      </c>
      <c r="AF31" s="156" t="s">
        <v>35</v>
      </c>
      <c r="AG31" s="156" t="s">
        <v>35</v>
      </c>
      <c r="AH31" s="156" t="s">
        <v>35</v>
      </c>
      <c r="AI31" s="183" t="s">
        <v>35</v>
      </c>
      <c r="AJ31" s="466" t="s">
        <v>35</v>
      </c>
      <c r="AK31" s="56" t="s">
        <v>16</v>
      </c>
    </row>
    <row r="32" spans="1:37" ht="12.75" customHeight="1" x14ac:dyDescent="0.2">
      <c r="A32" s="15"/>
      <c r="B32" s="187" t="s">
        <v>15</v>
      </c>
      <c r="C32" s="188"/>
      <c r="D32" s="188"/>
      <c r="E32" s="189"/>
      <c r="F32" s="189"/>
      <c r="G32" s="189"/>
      <c r="H32" s="189"/>
      <c r="I32" s="189">
        <v>0.84609999999999996</v>
      </c>
      <c r="J32" s="189">
        <v>1.4681999999999999</v>
      </c>
      <c r="K32" s="189">
        <v>1.5979000000000001</v>
      </c>
      <c r="L32" s="189">
        <v>1.5193000000000001</v>
      </c>
      <c r="M32" s="189">
        <v>1.5268999999999999</v>
      </c>
      <c r="N32" s="189">
        <v>1.6626000000000001</v>
      </c>
      <c r="O32" s="189">
        <v>1.3793</v>
      </c>
      <c r="P32" s="189">
        <v>0.99519999999999997</v>
      </c>
      <c r="Q32" s="189">
        <v>0.59970000000000001</v>
      </c>
      <c r="R32" s="189">
        <v>0.52249999999999996</v>
      </c>
      <c r="S32" s="189">
        <v>0.74099999999999999</v>
      </c>
      <c r="T32" s="189">
        <v>0.74029999999999996</v>
      </c>
      <c r="U32" s="189">
        <v>0.64880000000000004</v>
      </c>
      <c r="V32" s="189">
        <v>1.004</v>
      </c>
      <c r="W32" s="189">
        <v>1.101</v>
      </c>
      <c r="X32" s="189">
        <v>0.89900000000000002</v>
      </c>
      <c r="Y32" s="189">
        <v>1.1890000000000001</v>
      </c>
      <c r="Z32" s="189">
        <v>0.93100000000000005</v>
      </c>
      <c r="AA32" s="189">
        <v>0.98599999999999999</v>
      </c>
      <c r="AB32" s="189">
        <v>1.006</v>
      </c>
      <c r="AC32" s="189">
        <v>0.90500000000000003</v>
      </c>
      <c r="AD32" s="189">
        <v>0.74099999999999999</v>
      </c>
      <c r="AE32" s="189">
        <v>0.90300000000000002</v>
      </c>
      <c r="AF32" s="189">
        <v>0.93300000000000005</v>
      </c>
      <c r="AG32" s="189">
        <v>0.77800000000000002</v>
      </c>
      <c r="AH32" s="189">
        <v>0.93700000000000006</v>
      </c>
      <c r="AI32" s="219">
        <v>0.83399999999999996</v>
      </c>
      <c r="AJ32" s="485">
        <f t="shared" si="3"/>
        <v>-10.992529348986139</v>
      </c>
      <c r="AK32" s="187" t="s">
        <v>15</v>
      </c>
    </row>
    <row r="33" spans="1:37" ht="12.75" customHeight="1" x14ac:dyDescent="0.2">
      <c r="A33" s="15"/>
      <c r="B33" s="88" t="s">
        <v>31</v>
      </c>
      <c r="C33" s="155">
        <v>2</v>
      </c>
      <c r="D33" s="155">
        <v>1.8</v>
      </c>
      <c r="E33" s="155">
        <v>1.1000000000000001</v>
      </c>
      <c r="F33" s="156">
        <v>0.8</v>
      </c>
      <c r="G33" s="156">
        <v>0.5</v>
      </c>
      <c r="H33" s="156">
        <v>0.4</v>
      </c>
      <c r="I33" s="191">
        <v>0.3</v>
      </c>
      <c r="J33" s="156">
        <v>7.6999999999999999E-2</v>
      </c>
      <c r="K33" s="156">
        <v>0.1</v>
      </c>
      <c r="L33" s="156">
        <v>0.1</v>
      </c>
      <c r="M33" s="156">
        <v>0.11799999999999999</v>
      </c>
      <c r="N33" s="156">
        <v>0.11799999999999999</v>
      </c>
      <c r="O33" s="156">
        <v>0.11799999999999999</v>
      </c>
      <c r="P33" s="156">
        <v>0.10100000000000001</v>
      </c>
      <c r="Q33" s="156">
        <v>0.112</v>
      </c>
      <c r="R33" s="156">
        <v>0.109</v>
      </c>
      <c r="S33" s="156">
        <v>0.11799999999999999</v>
      </c>
      <c r="T33" s="156">
        <v>7.4999999999999997E-2</v>
      </c>
      <c r="U33" s="156">
        <v>6.6000000000000003E-2</v>
      </c>
      <c r="V33" s="156">
        <v>0.10199999999999999</v>
      </c>
      <c r="W33" s="156">
        <v>0.08</v>
      </c>
      <c r="X33" s="156">
        <v>6.0999999999999999E-2</v>
      </c>
      <c r="Y33" s="156">
        <v>7.5999999999999998E-2</v>
      </c>
      <c r="Z33" s="156">
        <v>0.09</v>
      </c>
      <c r="AA33" s="156">
        <v>0.124</v>
      </c>
      <c r="AB33" s="156">
        <v>0.121</v>
      </c>
      <c r="AC33" s="156">
        <v>0.13600000000000001</v>
      </c>
      <c r="AD33" s="156">
        <v>0.128</v>
      </c>
      <c r="AE33" s="156">
        <v>0.10299999999999999</v>
      </c>
      <c r="AF33" s="159">
        <f>AVERAGE(AC33:AE33)</f>
        <v>0.12233333333333334</v>
      </c>
      <c r="AG33" s="159">
        <f>AVERAGE(AD33:AF33)</f>
        <v>0.11777777777777777</v>
      </c>
      <c r="AH33" s="156">
        <v>0.122</v>
      </c>
      <c r="AI33" s="183">
        <v>0.127</v>
      </c>
      <c r="AJ33" s="466">
        <f t="shared" si="3"/>
        <v>4.098360655737693</v>
      </c>
      <c r="AK33" s="88" t="s">
        <v>31</v>
      </c>
    </row>
    <row r="34" spans="1:37" ht="12.75" customHeight="1" x14ac:dyDescent="0.2">
      <c r="A34" s="15"/>
      <c r="B34" s="321" t="s">
        <v>32</v>
      </c>
      <c r="C34" s="322" t="s">
        <v>35</v>
      </c>
      <c r="D34" s="322" t="s">
        <v>35</v>
      </c>
      <c r="E34" s="323" t="s">
        <v>35</v>
      </c>
      <c r="F34" s="323" t="s">
        <v>35</v>
      </c>
      <c r="G34" s="323" t="s">
        <v>35</v>
      </c>
      <c r="H34" s="323" t="s">
        <v>35</v>
      </c>
      <c r="I34" s="323" t="s">
        <v>35</v>
      </c>
      <c r="J34" s="323" t="s">
        <v>35</v>
      </c>
      <c r="K34" s="323" t="s">
        <v>35</v>
      </c>
      <c r="L34" s="323" t="s">
        <v>35</v>
      </c>
      <c r="M34" s="323" t="s">
        <v>35</v>
      </c>
      <c r="N34" s="323" t="s">
        <v>35</v>
      </c>
      <c r="O34" s="323" t="s">
        <v>35</v>
      </c>
      <c r="P34" s="323" t="s">
        <v>35</v>
      </c>
      <c r="Q34" s="323" t="s">
        <v>35</v>
      </c>
      <c r="R34" s="323" t="s">
        <v>35</v>
      </c>
      <c r="S34" s="323" t="s">
        <v>35</v>
      </c>
      <c r="T34" s="323" t="s">
        <v>35</v>
      </c>
      <c r="U34" s="323" t="s">
        <v>35</v>
      </c>
      <c r="V34" s="323" t="s">
        <v>35</v>
      </c>
      <c r="W34" s="323" t="s">
        <v>35</v>
      </c>
      <c r="X34" s="323" t="s">
        <v>35</v>
      </c>
      <c r="Y34" s="323" t="s">
        <v>35</v>
      </c>
      <c r="Z34" s="323" t="s">
        <v>35</v>
      </c>
      <c r="AA34" s="324" t="s">
        <v>35</v>
      </c>
      <c r="AB34" s="324" t="s">
        <v>35</v>
      </c>
      <c r="AC34" s="324" t="s">
        <v>35</v>
      </c>
      <c r="AD34" s="324" t="s">
        <v>35</v>
      </c>
      <c r="AE34" s="324">
        <v>1.6E-2</v>
      </c>
      <c r="AF34" s="324">
        <v>5.0000000000000001E-3</v>
      </c>
      <c r="AG34" s="324">
        <v>4.2999999999999997E-2</v>
      </c>
      <c r="AH34" s="324">
        <v>4.9000000000000002E-2</v>
      </c>
      <c r="AI34" s="475">
        <v>7.9000000000000001E-2</v>
      </c>
      <c r="AJ34" s="528">
        <f t="shared" si="3"/>
        <v>61.224489795918373</v>
      </c>
      <c r="AK34" s="321" t="s">
        <v>32</v>
      </c>
    </row>
    <row r="35" spans="1:37" ht="12.75" customHeight="1" x14ac:dyDescent="0.2">
      <c r="A35" s="15"/>
      <c r="B35" s="88" t="s">
        <v>3</v>
      </c>
      <c r="C35" s="355" t="s">
        <v>35</v>
      </c>
      <c r="D35" s="355" t="s">
        <v>35</v>
      </c>
      <c r="E35" s="156" t="s">
        <v>35</v>
      </c>
      <c r="F35" s="156" t="s">
        <v>35</v>
      </c>
      <c r="G35" s="156" t="s">
        <v>35</v>
      </c>
      <c r="H35" s="156" t="s">
        <v>35</v>
      </c>
      <c r="I35" s="156" t="s">
        <v>35</v>
      </c>
      <c r="J35" s="156" t="s">
        <v>35</v>
      </c>
      <c r="K35" s="156" t="s">
        <v>35</v>
      </c>
      <c r="L35" s="156" t="s">
        <v>35</v>
      </c>
      <c r="M35" s="156" t="s">
        <v>35</v>
      </c>
      <c r="N35" s="156" t="s">
        <v>35</v>
      </c>
      <c r="O35" s="156" t="s">
        <v>35</v>
      </c>
      <c r="P35" s="156" t="s">
        <v>35</v>
      </c>
      <c r="Q35" s="156" t="s">
        <v>35</v>
      </c>
      <c r="R35" s="156" t="s">
        <v>35</v>
      </c>
      <c r="S35" s="156" t="s">
        <v>35</v>
      </c>
      <c r="T35" s="156" t="s">
        <v>35</v>
      </c>
      <c r="U35" s="156" t="s">
        <v>35</v>
      </c>
      <c r="V35" s="156" t="s">
        <v>35</v>
      </c>
      <c r="W35" s="156" t="s">
        <v>35</v>
      </c>
      <c r="X35" s="156" t="s">
        <v>35</v>
      </c>
      <c r="Y35" s="156" t="s">
        <v>35</v>
      </c>
      <c r="Z35" s="156" t="s">
        <v>35</v>
      </c>
      <c r="AA35" s="156" t="s">
        <v>35</v>
      </c>
      <c r="AB35" s="156" t="s">
        <v>35</v>
      </c>
      <c r="AC35" s="156" t="s">
        <v>35</v>
      </c>
      <c r="AD35" s="156" t="s">
        <v>35</v>
      </c>
      <c r="AE35" s="156" t="s">
        <v>35</v>
      </c>
      <c r="AF35" s="156" t="s">
        <v>35</v>
      </c>
      <c r="AG35" s="156" t="s">
        <v>35</v>
      </c>
      <c r="AH35" s="156" t="s">
        <v>35</v>
      </c>
      <c r="AI35" s="472" t="s">
        <v>35</v>
      </c>
      <c r="AJ35" s="169" t="s">
        <v>35</v>
      </c>
      <c r="AK35" s="88" t="s">
        <v>3</v>
      </c>
    </row>
    <row r="36" spans="1:37" ht="12.75" customHeight="1" x14ac:dyDescent="0.2">
      <c r="A36" s="15"/>
      <c r="B36" s="17" t="s">
        <v>33</v>
      </c>
      <c r="C36" s="188" t="s">
        <v>35</v>
      </c>
      <c r="D36" s="188" t="s">
        <v>35</v>
      </c>
      <c r="E36" s="189" t="s">
        <v>35</v>
      </c>
      <c r="F36" s="189" t="s">
        <v>35</v>
      </c>
      <c r="G36" s="189" t="s">
        <v>35</v>
      </c>
      <c r="H36" s="189" t="s">
        <v>35</v>
      </c>
      <c r="I36" s="189" t="s">
        <v>35</v>
      </c>
      <c r="J36" s="189" t="s">
        <v>35</v>
      </c>
      <c r="K36" s="189" t="s">
        <v>35</v>
      </c>
      <c r="L36" s="189" t="s">
        <v>35</v>
      </c>
      <c r="M36" s="189" t="s">
        <v>35</v>
      </c>
      <c r="N36" s="189" t="s">
        <v>35</v>
      </c>
      <c r="O36" s="189" t="s">
        <v>35</v>
      </c>
      <c r="P36" s="189" t="s">
        <v>35</v>
      </c>
      <c r="Q36" s="189" t="s">
        <v>35</v>
      </c>
      <c r="R36" s="189" t="s">
        <v>35</v>
      </c>
      <c r="S36" s="189" t="s">
        <v>35</v>
      </c>
      <c r="T36" s="189" t="s">
        <v>35</v>
      </c>
      <c r="U36" s="189" t="s">
        <v>35</v>
      </c>
      <c r="V36" s="189" t="s">
        <v>35</v>
      </c>
      <c r="W36" s="189" t="s">
        <v>35</v>
      </c>
      <c r="X36" s="189" t="s">
        <v>35</v>
      </c>
      <c r="Y36" s="189" t="s">
        <v>35</v>
      </c>
      <c r="Z36" s="189" t="s">
        <v>35</v>
      </c>
      <c r="AA36" s="192" t="s">
        <v>35</v>
      </c>
      <c r="AB36" s="192" t="s">
        <v>35</v>
      </c>
      <c r="AC36" s="192" t="s">
        <v>35</v>
      </c>
      <c r="AD36" s="192" t="s">
        <v>35</v>
      </c>
      <c r="AE36" s="192" t="s">
        <v>35</v>
      </c>
      <c r="AF36" s="192" t="s">
        <v>35</v>
      </c>
      <c r="AG36" s="192" t="s">
        <v>35</v>
      </c>
      <c r="AH36" s="192" t="s">
        <v>35</v>
      </c>
      <c r="AI36" s="219" t="s">
        <v>35</v>
      </c>
      <c r="AJ36" s="485" t="s">
        <v>35</v>
      </c>
      <c r="AK36" s="17" t="s">
        <v>33</v>
      </c>
    </row>
    <row r="37" spans="1:37" ht="12.75" customHeight="1" x14ac:dyDescent="0.2">
      <c r="A37" s="15"/>
      <c r="B37" s="88" t="s">
        <v>4</v>
      </c>
      <c r="C37" s="356">
        <v>0.13900000000000001</v>
      </c>
      <c r="D37" s="356">
        <v>0.125</v>
      </c>
      <c r="E37" s="182">
        <v>0.19600000000000001</v>
      </c>
      <c r="F37" s="182">
        <v>0.19</v>
      </c>
      <c r="G37" s="182">
        <v>0.18</v>
      </c>
      <c r="H37" s="182">
        <v>0.17</v>
      </c>
      <c r="I37" s="182">
        <v>0.16</v>
      </c>
      <c r="J37" s="182">
        <v>4.7199999999999999E-2</v>
      </c>
      <c r="K37" s="182">
        <v>4.36E-2</v>
      </c>
      <c r="L37" s="182">
        <v>4.87E-2</v>
      </c>
      <c r="M37" s="182">
        <v>4.9000000000000002E-2</v>
      </c>
      <c r="N37" s="182">
        <v>4.1700000000000001E-2</v>
      </c>
      <c r="O37" s="182">
        <v>5.21E-2</v>
      </c>
      <c r="P37" s="182">
        <v>5.5500000000000001E-2</v>
      </c>
      <c r="Q37" s="182">
        <v>5.21E-2</v>
      </c>
      <c r="R37" s="182">
        <v>4.4400000000000002E-2</v>
      </c>
      <c r="S37" s="182">
        <v>4.5100000000000001E-2</v>
      </c>
      <c r="T37" s="182">
        <v>4.6600000000000003E-2</v>
      </c>
      <c r="U37" s="182">
        <v>4.2000000000000003E-2</v>
      </c>
      <c r="V37" s="182">
        <v>4.53E-2</v>
      </c>
      <c r="W37" s="182">
        <v>4.265E-2</v>
      </c>
      <c r="X37" s="182">
        <v>4.1000000000000002E-2</v>
      </c>
      <c r="Y37" s="182">
        <v>4.0090000000000001E-2</v>
      </c>
      <c r="Z37" s="182">
        <v>3.6400000000000002E-2</v>
      </c>
      <c r="AA37" s="182">
        <v>0.05</v>
      </c>
      <c r="AB37" s="182">
        <v>4.9000000000000002E-2</v>
      </c>
      <c r="AC37" s="182">
        <v>4.2999999999999997E-2</v>
      </c>
      <c r="AD37" s="182">
        <v>4.7E-2</v>
      </c>
      <c r="AE37" s="182">
        <v>0.03</v>
      </c>
      <c r="AF37" s="182">
        <v>4.1100000000000005E-2</v>
      </c>
      <c r="AG37" s="182">
        <f>33/1000</f>
        <v>3.3000000000000002E-2</v>
      </c>
      <c r="AH37" s="182">
        <f>43/1000</f>
        <v>4.2999999999999997E-2</v>
      </c>
      <c r="AI37" s="177">
        <f>38/1000</f>
        <v>3.7999999999999999E-2</v>
      </c>
      <c r="AJ37" s="529">
        <f>AI37/AH37*100-100</f>
        <v>-11.627906976744185</v>
      </c>
      <c r="AK37" s="88" t="s">
        <v>4</v>
      </c>
    </row>
    <row r="38" spans="1:37" ht="12.75" customHeight="1" x14ac:dyDescent="0.2">
      <c r="A38" s="15"/>
      <c r="B38" s="17" t="s">
        <v>96</v>
      </c>
      <c r="C38" s="354" t="s">
        <v>35</v>
      </c>
      <c r="D38" s="354" t="s">
        <v>35</v>
      </c>
      <c r="E38" s="189" t="s">
        <v>35</v>
      </c>
      <c r="F38" s="189" t="s">
        <v>35</v>
      </c>
      <c r="G38" s="189" t="s">
        <v>35</v>
      </c>
      <c r="H38" s="189" t="s">
        <v>35</v>
      </c>
      <c r="I38" s="189" t="s">
        <v>35</v>
      </c>
      <c r="J38" s="189" t="s">
        <v>35</v>
      </c>
      <c r="K38" s="189" t="s">
        <v>35</v>
      </c>
      <c r="L38" s="189" t="s">
        <v>35</v>
      </c>
      <c r="M38" s="189" t="s">
        <v>35</v>
      </c>
      <c r="N38" s="189" t="s">
        <v>35</v>
      </c>
      <c r="O38" s="189" t="s">
        <v>35</v>
      </c>
      <c r="P38" s="189" t="s">
        <v>35</v>
      </c>
      <c r="Q38" s="189" t="s">
        <v>35</v>
      </c>
      <c r="R38" s="189" t="s">
        <v>35</v>
      </c>
      <c r="S38" s="189" t="s">
        <v>35</v>
      </c>
      <c r="T38" s="189" t="s">
        <v>35</v>
      </c>
      <c r="U38" s="189" t="s">
        <v>35</v>
      </c>
      <c r="V38" s="189" t="s">
        <v>35</v>
      </c>
      <c r="W38" s="189" t="s">
        <v>35</v>
      </c>
      <c r="X38" s="189" t="s">
        <v>35</v>
      </c>
      <c r="Y38" s="189" t="s">
        <v>35</v>
      </c>
      <c r="Z38" s="189" t="s">
        <v>35</v>
      </c>
      <c r="AA38" s="189" t="s">
        <v>35</v>
      </c>
      <c r="AB38" s="189" t="s">
        <v>35</v>
      </c>
      <c r="AC38" s="189" t="s">
        <v>35</v>
      </c>
      <c r="AD38" s="189" t="s">
        <v>35</v>
      </c>
      <c r="AE38" s="189" t="s">
        <v>35</v>
      </c>
      <c r="AF38" s="189" t="s">
        <v>35</v>
      </c>
      <c r="AG38" s="189" t="s">
        <v>35</v>
      </c>
      <c r="AH38" s="154" t="s">
        <v>35</v>
      </c>
      <c r="AI38" s="174" t="s">
        <v>35</v>
      </c>
      <c r="AJ38" s="170" t="s">
        <v>35</v>
      </c>
      <c r="AK38" s="17" t="s">
        <v>96</v>
      </c>
    </row>
    <row r="39" spans="1:37" ht="12.75" customHeight="1" x14ac:dyDescent="0.2">
      <c r="A39" s="15"/>
      <c r="B39" s="88" t="s">
        <v>2</v>
      </c>
      <c r="C39" s="355" t="s">
        <v>35</v>
      </c>
      <c r="D39" s="355" t="s">
        <v>35</v>
      </c>
      <c r="E39" s="156" t="s">
        <v>35</v>
      </c>
      <c r="F39" s="156" t="s">
        <v>35</v>
      </c>
      <c r="G39" s="156" t="s">
        <v>35</v>
      </c>
      <c r="H39" s="156" t="s">
        <v>35</v>
      </c>
      <c r="I39" s="156" t="s">
        <v>35</v>
      </c>
      <c r="J39" s="156" t="s">
        <v>35</v>
      </c>
      <c r="K39" s="156"/>
      <c r="L39" s="156"/>
      <c r="M39" s="156"/>
      <c r="N39" s="156"/>
      <c r="O39" s="156" t="s">
        <v>35</v>
      </c>
      <c r="P39" s="156" t="s">
        <v>35</v>
      </c>
      <c r="Q39" s="156" t="s">
        <v>35</v>
      </c>
      <c r="R39" s="156" t="s">
        <v>35</v>
      </c>
      <c r="S39" s="156" t="s">
        <v>35</v>
      </c>
      <c r="T39" s="156" t="s">
        <v>35</v>
      </c>
      <c r="U39" s="156" t="s">
        <v>35</v>
      </c>
      <c r="V39" s="156" t="s">
        <v>35</v>
      </c>
      <c r="W39" s="156" t="s">
        <v>35</v>
      </c>
      <c r="X39" s="156" t="s">
        <v>35</v>
      </c>
      <c r="Y39" s="156" t="s">
        <v>35</v>
      </c>
      <c r="Z39" s="156" t="s">
        <v>35</v>
      </c>
      <c r="AA39" s="156" t="s">
        <v>35</v>
      </c>
      <c r="AB39" s="156" t="s">
        <v>35</v>
      </c>
      <c r="AC39" s="156" t="s">
        <v>35</v>
      </c>
      <c r="AD39" s="156" t="s">
        <v>35</v>
      </c>
      <c r="AE39" s="156" t="s">
        <v>35</v>
      </c>
      <c r="AF39" s="156" t="s">
        <v>35</v>
      </c>
      <c r="AG39" s="156" t="s">
        <v>35</v>
      </c>
      <c r="AH39" s="156" t="s">
        <v>35</v>
      </c>
      <c r="AI39" s="183" t="s">
        <v>35</v>
      </c>
      <c r="AJ39" s="169" t="s">
        <v>35</v>
      </c>
      <c r="AK39" s="88" t="s">
        <v>2</v>
      </c>
    </row>
    <row r="40" spans="1:37" ht="12.75" customHeight="1" x14ac:dyDescent="0.2">
      <c r="A40" s="15"/>
      <c r="B40" s="17" t="s">
        <v>100</v>
      </c>
      <c r="C40" s="354" t="s">
        <v>35</v>
      </c>
      <c r="D40" s="354" t="s">
        <v>35</v>
      </c>
      <c r="E40" s="189" t="s">
        <v>35</v>
      </c>
      <c r="F40" s="189" t="s">
        <v>35</v>
      </c>
      <c r="G40" s="189" t="s">
        <v>35</v>
      </c>
      <c r="H40" s="189" t="s">
        <v>35</v>
      </c>
      <c r="I40" s="189" t="s">
        <v>35</v>
      </c>
      <c r="J40" s="189" t="s">
        <v>35</v>
      </c>
      <c r="K40" s="189" t="s">
        <v>35</v>
      </c>
      <c r="L40" s="189" t="s">
        <v>35</v>
      </c>
      <c r="M40" s="189" t="s">
        <v>35</v>
      </c>
      <c r="N40" s="189" t="s">
        <v>35</v>
      </c>
      <c r="O40" s="189" t="s">
        <v>35</v>
      </c>
      <c r="P40" s="189" t="s">
        <v>35</v>
      </c>
      <c r="Q40" s="189" t="s">
        <v>35</v>
      </c>
      <c r="R40" s="189" t="s">
        <v>35</v>
      </c>
      <c r="S40" s="189" t="s">
        <v>35</v>
      </c>
      <c r="T40" s="189" t="s">
        <v>35</v>
      </c>
      <c r="U40" s="189" t="s">
        <v>35</v>
      </c>
      <c r="V40" s="189" t="s">
        <v>35</v>
      </c>
      <c r="W40" s="189" t="s">
        <v>35</v>
      </c>
      <c r="X40" s="189" t="s">
        <v>35</v>
      </c>
      <c r="Y40" s="189" t="s">
        <v>35</v>
      </c>
      <c r="Z40" s="189" t="s">
        <v>35</v>
      </c>
      <c r="AA40" s="189" t="s">
        <v>35</v>
      </c>
      <c r="AB40" s="189" t="s">
        <v>35</v>
      </c>
      <c r="AC40" s="189" t="s">
        <v>35</v>
      </c>
      <c r="AD40" s="189" t="s">
        <v>35</v>
      </c>
      <c r="AE40" s="189" t="s">
        <v>35</v>
      </c>
      <c r="AF40" s="189" t="s">
        <v>35</v>
      </c>
      <c r="AG40" s="189" t="s">
        <v>35</v>
      </c>
      <c r="AH40" s="189" t="s">
        <v>35</v>
      </c>
      <c r="AI40" s="219" t="s">
        <v>35</v>
      </c>
      <c r="AJ40" s="485" t="s">
        <v>35</v>
      </c>
      <c r="AK40" s="17" t="s">
        <v>100</v>
      </c>
    </row>
    <row r="41" spans="1:37" ht="12.75" customHeight="1" x14ac:dyDescent="0.2">
      <c r="A41" s="156"/>
      <c r="B41" s="88" t="s">
        <v>97</v>
      </c>
      <c r="C41" s="355">
        <v>3.504</v>
      </c>
      <c r="D41" s="355">
        <v>4.22</v>
      </c>
      <c r="E41" s="156">
        <v>3.2320000000000002</v>
      </c>
      <c r="F41" s="156">
        <v>2.9159999999999999</v>
      </c>
      <c r="G41" s="156">
        <v>2.57</v>
      </c>
      <c r="H41" s="156">
        <v>0.28399999999999997</v>
      </c>
      <c r="I41" s="156">
        <v>0.26700000000000002</v>
      </c>
      <c r="J41" s="156">
        <v>0.33600000000000002</v>
      </c>
      <c r="K41" s="156">
        <v>1.3220000000000001</v>
      </c>
      <c r="L41" s="156">
        <v>1.825</v>
      </c>
      <c r="M41" s="156">
        <v>1.5940000000000001</v>
      </c>
      <c r="N41" s="156">
        <v>0.77800000000000002</v>
      </c>
      <c r="O41" s="156">
        <v>0.98</v>
      </c>
      <c r="P41" s="156">
        <v>0.98299999999999998</v>
      </c>
      <c r="Q41" s="156">
        <v>1.0820000000000001</v>
      </c>
      <c r="R41" s="156">
        <v>0.83399999999999996</v>
      </c>
      <c r="S41" s="156">
        <v>1.115</v>
      </c>
      <c r="T41" s="156">
        <v>1.6220000000000001</v>
      </c>
      <c r="U41" s="156">
        <v>1.64</v>
      </c>
      <c r="V41" s="156">
        <v>1.5840000000000001</v>
      </c>
      <c r="W41" s="156">
        <v>1.369</v>
      </c>
      <c r="X41" s="156">
        <v>1.1140000000000001</v>
      </c>
      <c r="Y41" s="156">
        <v>0.875</v>
      </c>
      <c r="Z41" s="156">
        <v>0.96299999999999997</v>
      </c>
      <c r="AA41" s="156">
        <v>0.60499999999999998</v>
      </c>
      <c r="AB41" s="156">
        <v>0.70099999999999996</v>
      </c>
      <c r="AC41" s="156">
        <v>0.75900000000000001</v>
      </c>
      <c r="AD41" s="156">
        <v>0.85899999999999999</v>
      </c>
      <c r="AE41" s="156">
        <v>0.92600000000000005</v>
      </c>
      <c r="AF41" s="156">
        <v>0.71960000000000002</v>
      </c>
      <c r="AG41" s="156">
        <v>0.57999999999999996</v>
      </c>
      <c r="AH41" s="156">
        <f>727/1000</f>
        <v>0.72699999999999998</v>
      </c>
      <c r="AI41" s="183">
        <f>558/1000</f>
        <v>0.55800000000000005</v>
      </c>
      <c r="AJ41" s="169">
        <f t="shared" si="3"/>
        <v>-23.246217331499309</v>
      </c>
      <c r="AK41" s="88" t="s">
        <v>97</v>
      </c>
    </row>
    <row r="42" spans="1:37" ht="12.75" customHeight="1" x14ac:dyDescent="0.2">
      <c r="A42" s="15"/>
      <c r="B42" s="18" t="s">
        <v>17</v>
      </c>
      <c r="C42" s="322" t="s">
        <v>35</v>
      </c>
      <c r="D42" s="322" t="s">
        <v>35</v>
      </c>
      <c r="E42" s="323" t="s">
        <v>35</v>
      </c>
      <c r="F42" s="323" t="s">
        <v>35</v>
      </c>
      <c r="G42" s="323" t="s">
        <v>35</v>
      </c>
      <c r="H42" s="323" t="s">
        <v>35</v>
      </c>
      <c r="I42" s="323" t="s">
        <v>35</v>
      </c>
      <c r="J42" s="323" t="s">
        <v>35</v>
      </c>
      <c r="K42" s="323" t="s">
        <v>35</v>
      </c>
      <c r="L42" s="323" t="s">
        <v>35</v>
      </c>
      <c r="M42" s="323" t="s">
        <v>35</v>
      </c>
      <c r="N42" s="323" t="s">
        <v>35</v>
      </c>
      <c r="O42" s="323" t="s">
        <v>35</v>
      </c>
      <c r="P42" s="323" t="s">
        <v>35</v>
      </c>
      <c r="Q42" s="323" t="s">
        <v>35</v>
      </c>
      <c r="R42" s="323" t="s">
        <v>35</v>
      </c>
      <c r="S42" s="323" t="s">
        <v>35</v>
      </c>
      <c r="T42" s="323" t="s">
        <v>35</v>
      </c>
      <c r="U42" s="323" t="s">
        <v>35</v>
      </c>
      <c r="V42" s="323" t="s">
        <v>35</v>
      </c>
      <c r="W42" s="323" t="s">
        <v>35</v>
      </c>
      <c r="X42" s="323" t="s">
        <v>35</v>
      </c>
      <c r="Y42" s="323" t="s">
        <v>35</v>
      </c>
      <c r="Z42" s="323" t="s">
        <v>35</v>
      </c>
      <c r="AA42" s="324" t="s">
        <v>35</v>
      </c>
      <c r="AB42" s="324" t="s">
        <v>35</v>
      </c>
      <c r="AC42" s="324" t="s">
        <v>35</v>
      </c>
      <c r="AD42" s="324" t="s">
        <v>35</v>
      </c>
      <c r="AE42" s="324" t="s">
        <v>35</v>
      </c>
      <c r="AF42" s="324" t="s">
        <v>35</v>
      </c>
      <c r="AG42" s="324" t="s">
        <v>35</v>
      </c>
      <c r="AH42" s="323" t="s">
        <v>35</v>
      </c>
      <c r="AI42" s="174" t="s">
        <v>35</v>
      </c>
      <c r="AJ42" s="348" t="s">
        <v>35</v>
      </c>
      <c r="AK42" s="18" t="s">
        <v>17</v>
      </c>
    </row>
    <row r="43" spans="1:37" ht="12.75" customHeight="1" x14ac:dyDescent="0.2">
      <c r="A43" s="15"/>
      <c r="B43" s="89" t="s">
        <v>21</v>
      </c>
      <c r="C43" s="358">
        <v>0.3</v>
      </c>
      <c r="D43" s="358">
        <v>0.4</v>
      </c>
      <c r="E43" s="198">
        <v>0.3</v>
      </c>
      <c r="F43" s="198">
        <v>0.2</v>
      </c>
      <c r="G43" s="198">
        <v>0.19</v>
      </c>
      <c r="H43" s="198">
        <v>0.2</v>
      </c>
      <c r="I43" s="198">
        <v>0.2</v>
      </c>
      <c r="J43" s="198">
        <v>0.2</v>
      </c>
      <c r="K43" s="198">
        <v>0.18</v>
      </c>
      <c r="L43" s="198">
        <v>0.15</v>
      </c>
      <c r="M43" s="198">
        <v>0.15</v>
      </c>
      <c r="N43" s="198">
        <v>0.16</v>
      </c>
      <c r="O43" s="198">
        <v>0.21</v>
      </c>
      <c r="P43" s="198">
        <v>0.19</v>
      </c>
      <c r="Q43" s="198">
        <v>0.18</v>
      </c>
      <c r="R43" s="198">
        <v>0.18</v>
      </c>
      <c r="S43" s="198">
        <v>0.15</v>
      </c>
      <c r="T43" s="198">
        <v>0.17</v>
      </c>
      <c r="U43" s="196">
        <v>0.16</v>
      </c>
      <c r="V43" s="198">
        <v>0.16200000000000001</v>
      </c>
      <c r="W43" s="198">
        <v>0.16400000000000001</v>
      </c>
      <c r="X43" s="198">
        <v>0.13300000000000001</v>
      </c>
      <c r="Y43" s="271">
        <v>0.156</v>
      </c>
      <c r="Z43" s="271">
        <v>0.14399999999999999</v>
      </c>
      <c r="AA43" s="271">
        <v>0.16500000000000001</v>
      </c>
      <c r="AB43" s="271">
        <v>0.21099999999999999</v>
      </c>
      <c r="AC43" s="271">
        <v>0.16900000000000001</v>
      </c>
      <c r="AD43" s="271">
        <v>0.12</v>
      </c>
      <c r="AE43" s="271">
        <v>0.108</v>
      </c>
      <c r="AF43" s="271">
        <v>9.9000000000000005E-2</v>
      </c>
      <c r="AG43" s="182">
        <v>9.2999999999999999E-2</v>
      </c>
      <c r="AH43" s="182">
        <v>0.187</v>
      </c>
      <c r="AI43" s="380"/>
      <c r="AJ43" s="283"/>
      <c r="AK43" s="89" t="s">
        <v>21</v>
      </c>
    </row>
    <row r="44" spans="1:37" ht="12.75" customHeight="1" x14ac:dyDescent="0.2">
      <c r="A44" s="15"/>
      <c r="B44" s="591" t="s">
        <v>141</v>
      </c>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1"/>
    </row>
    <row r="45" spans="1:37" ht="12.75" customHeight="1" x14ac:dyDescent="0.2">
      <c r="A45" s="15"/>
      <c r="B45" s="590" t="s">
        <v>138</v>
      </c>
      <c r="C45" s="590"/>
      <c r="D45" s="590"/>
      <c r="E45" s="590"/>
      <c r="F45" s="590"/>
      <c r="G45" s="590"/>
      <c r="H45" s="590"/>
      <c r="I45" s="590"/>
      <c r="J45" s="590"/>
      <c r="K45" s="590"/>
      <c r="L45" s="590"/>
      <c r="M45" s="590"/>
      <c r="N45" s="590"/>
      <c r="O45" s="590"/>
      <c r="P45" s="590"/>
      <c r="Q45" s="590"/>
      <c r="R45" s="590"/>
      <c r="S45" s="590"/>
    </row>
    <row r="46" spans="1:37" ht="13.5" customHeight="1" x14ac:dyDescent="0.2">
      <c r="B46" s="125" t="s">
        <v>67</v>
      </c>
      <c r="C46" s="127"/>
      <c r="D46" s="127"/>
      <c r="E46" s="127"/>
      <c r="F46" s="127"/>
      <c r="G46" s="127"/>
      <c r="H46" s="127"/>
      <c r="I46" s="127"/>
      <c r="J46" s="127"/>
      <c r="K46" s="127"/>
      <c r="L46" s="127"/>
      <c r="M46" s="127"/>
      <c r="N46" s="127"/>
      <c r="O46" s="127"/>
      <c r="P46" s="127"/>
      <c r="Q46" s="127"/>
      <c r="R46" s="127"/>
      <c r="S46" s="127"/>
      <c r="T46" s="126"/>
      <c r="U46" s="126"/>
      <c r="V46" s="126"/>
      <c r="W46" s="126"/>
      <c r="X46" s="126"/>
      <c r="Y46" s="126"/>
      <c r="Z46" s="126"/>
      <c r="AA46" s="126"/>
      <c r="AB46" s="126"/>
      <c r="AC46" s="126"/>
      <c r="AD46" s="126"/>
      <c r="AE46" s="126"/>
      <c r="AF46" s="126"/>
      <c r="AG46" s="126"/>
      <c r="AH46" s="126"/>
      <c r="AI46" s="126"/>
      <c r="AJ46" s="530"/>
      <c r="AK46" s="126"/>
    </row>
    <row r="47" spans="1:37" ht="12.75" customHeight="1" x14ac:dyDescent="0.2">
      <c r="B47" s="47" t="s">
        <v>109</v>
      </c>
      <c r="C47"/>
      <c r="D47"/>
      <c r="E47"/>
      <c r="F47"/>
      <c r="G47"/>
      <c r="H47"/>
      <c r="I47"/>
      <c r="J47"/>
      <c r="K47"/>
      <c r="L47"/>
      <c r="M47"/>
      <c r="N47"/>
      <c r="O47"/>
      <c r="P47"/>
    </row>
    <row r="48" spans="1:37" s="47" customFormat="1" ht="12.75" customHeight="1" x14ac:dyDescent="0.2">
      <c r="A48" s="80"/>
      <c r="B48" s="11" t="s">
        <v>93</v>
      </c>
      <c r="C48"/>
      <c r="D48"/>
      <c r="E48"/>
      <c r="F48"/>
      <c r="G48"/>
      <c r="H48"/>
      <c r="I48"/>
      <c r="J48"/>
      <c r="K48"/>
      <c r="L48"/>
      <c r="M48"/>
      <c r="N48" s="134">
        <v>2000</v>
      </c>
      <c r="O48"/>
      <c r="P48" s="3"/>
      <c r="Q48" s="3"/>
      <c r="R48" s="3"/>
      <c r="S48" s="3"/>
      <c r="T48" s="3"/>
      <c r="U48" s="3"/>
      <c r="V48" s="3"/>
      <c r="W48" s="3"/>
      <c r="X48" s="3"/>
      <c r="Y48" s="3"/>
      <c r="Z48" s="3"/>
      <c r="AA48" s="3"/>
      <c r="AB48" s="3"/>
      <c r="AC48" s="3"/>
      <c r="AD48" s="3"/>
      <c r="AE48" s="3"/>
      <c r="AF48" s="3"/>
      <c r="AG48" s="3"/>
      <c r="AH48" s="3"/>
      <c r="AI48" s="3"/>
      <c r="AJ48" s="525"/>
      <c r="AK48" s="3"/>
    </row>
    <row r="49" spans="2:2" x14ac:dyDescent="0.2">
      <c r="B49" s="11" t="s">
        <v>94</v>
      </c>
    </row>
    <row r="50" spans="2:2" x14ac:dyDescent="0.2">
      <c r="B50" s="11" t="s">
        <v>89</v>
      </c>
    </row>
  </sheetData>
  <mergeCells count="4">
    <mergeCell ref="B2:AK2"/>
    <mergeCell ref="B45:S45"/>
    <mergeCell ref="B44:AK44"/>
    <mergeCell ref="AG3:AI3"/>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AK49"/>
  <sheetViews>
    <sheetView topLeftCell="A4" workbookViewId="0">
      <selection activeCell="G62" sqref="G62"/>
    </sheetView>
  </sheetViews>
  <sheetFormatPr defaultRowHeight="11.25" x14ac:dyDescent="0.2"/>
  <cols>
    <col min="1" max="1" width="8" style="46" customWidth="1"/>
    <col min="2" max="2" width="5.42578125" style="3" customWidth="1"/>
    <col min="3" max="4" width="6.7109375" style="3" customWidth="1"/>
    <col min="5" max="5" width="7" style="3" customWidth="1"/>
    <col min="6" max="20" width="6.7109375" style="3" customWidth="1"/>
    <col min="21" max="32" width="7.28515625" style="3" customWidth="1"/>
    <col min="33" max="33" width="7.140625" style="3" customWidth="1"/>
    <col min="34" max="35" width="6" style="3" customWidth="1"/>
    <col min="36" max="36" width="6.28515625" style="359" customWidth="1"/>
    <col min="37" max="37" width="5.140625" style="3" customWidth="1"/>
    <col min="38" max="16384" width="9.140625" style="3"/>
  </cols>
  <sheetData>
    <row r="1" spans="1:37" ht="14.25" customHeight="1" x14ac:dyDescent="0.2">
      <c r="B1" s="42"/>
      <c r="C1" s="43"/>
      <c r="D1" s="43"/>
      <c r="E1" s="38"/>
      <c r="F1" s="38"/>
      <c r="G1" s="38"/>
      <c r="H1" s="38"/>
      <c r="I1" s="38"/>
      <c r="J1" s="38"/>
      <c r="K1" s="38"/>
      <c r="L1" s="38"/>
      <c r="M1" s="38"/>
      <c r="N1" s="38"/>
      <c r="O1" s="38"/>
      <c r="P1" s="38"/>
      <c r="R1"/>
      <c r="U1" s="39"/>
      <c r="V1" s="39"/>
      <c r="W1" s="39"/>
      <c r="X1" s="39"/>
      <c r="Y1" s="39"/>
      <c r="Z1" s="39"/>
      <c r="AA1" s="39"/>
      <c r="AB1" s="39"/>
      <c r="AC1" s="39"/>
      <c r="AD1" s="39"/>
      <c r="AE1" s="39"/>
      <c r="AF1" s="39"/>
      <c r="AG1" s="39"/>
      <c r="AH1" s="39"/>
      <c r="AI1" s="39"/>
      <c r="AK1" s="39" t="s">
        <v>83</v>
      </c>
    </row>
    <row r="2" spans="1:37" s="47" customFormat="1" ht="30" customHeight="1" x14ac:dyDescent="0.2">
      <c r="A2" s="49"/>
      <c r="B2" s="592" t="s">
        <v>134</v>
      </c>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row>
    <row r="3" spans="1:37" ht="12.75" x14ac:dyDescent="0.2">
      <c r="B3" s="4"/>
      <c r="C3" s="4"/>
      <c r="E3" s="28"/>
      <c r="F3" s="28"/>
      <c r="G3" s="28"/>
      <c r="H3" s="28"/>
      <c r="I3" s="28"/>
      <c r="J3" s="30"/>
      <c r="K3" s="30"/>
      <c r="L3" s="30"/>
      <c r="M3" s="30"/>
      <c r="N3" s="30"/>
      <c r="O3" s="30"/>
      <c r="R3" s="1"/>
      <c r="W3" s="293"/>
      <c r="X3" s="294"/>
      <c r="Y3" s="161"/>
      <c r="Z3" s="21"/>
      <c r="AA3" s="21"/>
      <c r="AB3" s="21"/>
      <c r="AC3" s="21"/>
      <c r="AD3" s="21"/>
      <c r="AE3" s="293"/>
      <c r="AF3" s="305"/>
      <c r="AG3" s="580" t="s">
        <v>95</v>
      </c>
      <c r="AH3" s="580"/>
      <c r="AI3" s="580"/>
      <c r="AJ3" s="360"/>
      <c r="AK3" s="45"/>
    </row>
    <row r="4" spans="1:37" ht="20.100000000000001" customHeight="1" x14ac:dyDescent="0.2">
      <c r="B4" s="32"/>
      <c r="C4" s="102">
        <v>1970</v>
      </c>
      <c r="D4" s="102">
        <v>1980</v>
      </c>
      <c r="E4" s="85">
        <v>1990</v>
      </c>
      <c r="F4" s="85">
        <v>1991</v>
      </c>
      <c r="G4" s="85">
        <v>1992</v>
      </c>
      <c r="H4" s="85">
        <v>1993</v>
      </c>
      <c r="I4" s="85">
        <v>1994</v>
      </c>
      <c r="J4" s="85">
        <v>1995</v>
      </c>
      <c r="K4" s="85">
        <v>1996</v>
      </c>
      <c r="L4" s="85">
        <v>1997</v>
      </c>
      <c r="M4" s="85">
        <v>1998</v>
      </c>
      <c r="N4" s="85">
        <v>1999</v>
      </c>
      <c r="O4" s="85">
        <v>2000</v>
      </c>
      <c r="P4" s="85">
        <v>2001</v>
      </c>
      <c r="Q4" s="85">
        <v>2002</v>
      </c>
      <c r="R4" s="85">
        <v>2003</v>
      </c>
      <c r="S4" s="85">
        <v>2004</v>
      </c>
      <c r="T4" s="85">
        <v>2005</v>
      </c>
      <c r="U4" s="85">
        <v>2006</v>
      </c>
      <c r="V4" s="85">
        <v>2007</v>
      </c>
      <c r="W4" s="85">
        <v>2008</v>
      </c>
      <c r="X4" s="85">
        <v>2009</v>
      </c>
      <c r="Y4" s="85">
        <v>2010</v>
      </c>
      <c r="Z4" s="85">
        <v>2011</v>
      </c>
      <c r="AA4" s="85">
        <v>2012</v>
      </c>
      <c r="AB4" s="85">
        <v>2013</v>
      </c>
      <c r="AC4" s="85">
        <v>2014</v>
      </c>
      <c r="AD4" s="85">
        <v>2015</v>
      </c>
      <c r="AE4" s="85">
        <v>2016</v>
      </c>
      <c r="AF4" s="85">
        <v>2017</v>
      </c>
      <c r="AG4" s="85">
        <v>2018</v>
      </c>
      <c r="AH4" s="85">
        <v>2019</v>
      </c>
      <c r="AI4" s="85">
        <v>2020</v>
      </c>
      <c r="AJ4" s="343" t="s">
        <v>146</v>
      </c>
      <c r="AK4" s="62"/>
    </row>
    <row r="5" spans="1:37" ht="9.9499999999999993" customHeight="1" x14ac:dyDescent="0.2">
      <c r="B5" s="32"/>
      <c r="C5" s="103"/>
      <c r="D5" s="104"/>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344" t="s">
        <v>63</v>
      </c>
      <c r="AK5" s="62"/>
    </row>
    <row r="6" spans="1:37" ht="12.75" customHeight="1" x14ac:dyDescent="0.2">
      <c r="B6" s="279" t="s">
        <v>112</v>
      </c>
      <c r="C6" s="295"/>
      <c r="D6" s="295"/>
      <c r="E6" s="296"/>
      <c r="F6" s="296"/>
      <c r="G6" s="296"/>
      <c r="H6" s="296"/>
      <c r="I6" s="287">
        <v>103.47499999999999</v>
      </c>
      <c r="J6" s="287">
        <v>103.81029999999998</v>
      </c>
      <c r="K6" s="287">
        <v>107.7071</v>
      </c>
      <c r="L6" s="287">
        <v>107.66900000000001</v>
      </c>
      <c r="M6" s="287">
        <v>114.67399999999999</v>
      </c>
      <c r="N6" s="287">
        <v>113.21399999999998</v>
      </c>
      <c r="O6" s="287">
        <v>115.68269999999998</v>
      </c>
      <c r="P6" s="287">
        <v>122.3753</v>
      </c>
      <c r="Q6" s="287">
        <v>118.79659999999998</v>
      </c>
      <c r="R6" s="287">
        <v>121.20380000000002</v>
      </c>
      <c r="S6" s="287">
        <v>122.60236060000001</v>
      </c>
      <c r="T6" s="287">
        <v>126.80850379999998</v>
      </c>
      <c r="U6" s="287">
        <v>125.78924979999998</v>
      </c>
      <c r="V6" s="287">
        <v>118.22248842182226</v>
      </c>
      <c r="W6" s="287">
        <v>114.76496585313126</v>
      </c>
      <c r="X6" s="287">
        <v>111.63421473696151</v>
      </c>
      <c r="Y6" s="287">
        <v>110.96844560300448</v>
      </c>
      <c r="Z6" s="287">
        <f>SUM(Z8:Z34)</f>
        <v>108.27031897026802</v>
      </c>
      <c r="AA6" s="287">
        <f t="shared" ref="AA6:AI6" si="0">SUM(AA8:AA34)</f>
        <v>104.98250906969668</v>
      </c>
      <c r="AB6" s="287">
        <f t="shared" si="0"/>
        <v>102.0834831637049</v>
      </c>
      <c r="AC6" s="287">
        <f t="shared" si="0"/>
        <v>101.08568894404827</v>
      </c>
      <c r="AD6" s="287">
        <f t="shared" si="0"/>
        <v>104.14976966869865</v>
      </c>
      <c r="AE6" s="287">
        <f t="shared" si="0"/>
        <v>104.6967429921506</v>
      </c>
      <c r="AF6" s="287">
        <f t="shared" si="0"/>
        <v>104.02069553496584</v>
      </c>
      <c r="AG6" s="287">
        <f t="shared" si="0"/>
        <v>104.11186199860504</v>
      </c>
      <c r="AH6" s="287">
        <f t="shared" si="0"/>
        <v>101.00951657524053</v>
      </c>
      <c r="AI6" s="287">
        <f t="shared" si="0"/>
        <v>91.725137702937118</v>
      </c>
      <c r="AJ6" s="433">
        <f>AI6/AH6*100-100</f>
        <v>-9.1915882652379679</v>
      </c>
      <c r="AK6" s="279" t="s">
        <v>112</v>
      </c>
    </row>
    <row r="7" spans="1:37" ht="12.75" customHeight="1" x14ac:dyDescent="0.2">
      <c r="A7" s="15"/>
      <c r="B7" s="279" t="s">
        <v>99</v>
      </c>
      <c r="C7" s="295"/>
      <c r="D7" s="295"/>
      <c r="E7" s="296"/>
      <c r="F7" s="296"/>
      <c r="G7" s="296"/>
      <c r="H7" s="296"/>
      <c r="I7" s="287">
        <v>115.47499999999999</v>
      </c>
      <c r="J7" s="287">
        <v>114.91029999999998</v>
      </c>
      <c r="K7" s="287">
        <v>119.3301</v>
      </c>
      <c r="L7" s="287">
        <v>118.90400000000001</v>
      </c>
      <c r="M7" s="287">
        <v>126.33999999999999</v>
      </c>
      <c r="N7" s="287">
        <v>124.85099999999998</v>
      </c>
      <c r="O7" s="287">
        <v>127.10669999999999</v>
      </c>
      <c r="P7" s="287">
        <v>133.93729999999999</v>
      </c>
      <c r="Q7" s="287">
        <v>129.73159999999999</v>
      </c>
      <c r="R7" s="287">
        <v>131.68780000000001</v>
      </c>
      <c r="S7" s="287">
        <v>133.25936060000001</v>
      </c>
      <c r="T7" s="287">
        <v>137.58850379999998</v>
      </c>
      <c r="U7" s="287">
        <v>136.56624979999998</v>
      </c>
      <c r="V7" s="287">
        <v>128.45148842182226</v>
      </c>
      <c r="W7" s="287">
        <v>124.94496585313127</v>
      </c>
      <c r="X7" s="287">
        <v>121.81921473696151</v>
      </c>
      <c r="Y7" s="287">
        <v>121.13344560300447</v>
      </c>
      <c r="Z7" s="287">
        <f t="shared" ref="Z7:AH7" si="1">Z6+Z43</f>
        <v>118.37031897026802</v>
      </c>
      <c r="AA7" s="287">
        <f t="shared" si="1"/>
        <v>114.89650906969668</v>
      </c>
      <c r="AB7" s="287">
        <f t="shared" si="1"/>
        <v>112.04489385359166</v>
      </c>
      <c r="AC7" s="287">
        <f t="shared" si="1"/>
        <v>111.07749250734386</v>
      </c>
      <c r="AD7" s="287">
        <f t="shared" si="1"/>
        <v>114.10550775309277</v>
      </c>
      <c r="AE7" s="287">
        <f t="shared" si="1"/>
        <v>114.66639377134275</v>
      </c>
      <c r="AF7" s="287">
        <f t="shared" si="1"/>
        <v>113.99309301059313</v>
      </c>
      <c r="AG7" s="287">
        <f t="shared" si="1"/>
        <v>114.07779077834289</v>
      </c>
      <c r="AH7" s="287">
        <f t="shared" si="1"/>
        <v>110.97884225342628</v>
      </c>
      <c r="AI7" s="287"/>
      <c r="AJ7" s="279"/>
      <c r="AK7" s="279" t="s">
        <v>99</v>
      </c>
    </row>
    <row r="8" spans="1:37" ht="12.75" customHeight="1" x14ac:dyDescent="0.2">
      <c r="A8" s="15"/>
      <c r="B8" s="17" t="s">
        <v>22</v>
      </c>
      <c r="C8" s="96">
        <v>0.27</v>
      </c>
      <c r="D8" s="96">
        <v>1.802</v>
      </c>
      <c r="E8" s="161">
        <v>1.024</v>
      </c>
      <c r="F8" s="161">
        <v>1.1299999999999999</v>
      </c>
      <c r="G8" s="161">
        <v>1.1679999999999999</v>
      </c>
      <c r="H8" s="161">
        <v>1.2629999999999999</v>
      </c>
      <c r="I8" s="161">
        <v>1.37</v>
      </c>
      <c r="J8" s="161">
        <v>1.37</v>
      </c>
      <c r="K8" s="161">
        <v>1.45</v>
      </c>
      <c r="L8" s="161">
        <v>1.526</v>
      </c>
      <c r="M8" s="161">
        <v>1.57</v>
      </c>
      <c r="N8" s="161">
        <v>1.577</v>
      </c>
      <c r="O8" s="161">
        <v>1.6240000000000001</v>
      </c>
      <c r="P8" s="161">
        <v>1.544</v>
      </c>
      <c r="Q8" s="161">
        <v>1.5109999999999999</v>
      </c>
      <c r="R8" s="161">
        <v>1.518</v>
      </c>
      <c r="S8" s="161">
        <v>1.5329999999999999</v>
      </c>
      <c r="T8" s="161">
        <v>1.5169999999999999</v>
      </c>
      <c r="U8" s="161">
        <v>1.5720000000000001</v>
      </c>
      <c r="V8" s="167">
        <v>1.4693124218222637</v>
      </c>
      <c r="W8" s="167">
        <v>1.4604484531312809</v>
      </c>
      <c r="X8" s="167">
        <v>1.5250113322259891</v>
      </c>
      <c r="Y8" s="167">
        <v>1.5165343017285184</v>
      </c>
      <c r="Z8" s="167">
        <v>1.3965357700971579</v>
      </c>
      <c r="AA8" s="167">
        <v>1.6315054983427759</v>
      </c>
      <c r="AB8" s="167">
        <v>1.6930081637049001</v>
      </c>
      <c r="AC8" s="167">
        <f>AVERAGE(Z8:AB8)</f>
        <v>1.5736831440482781</v>
      </c>
      <c r="AD8" s="167">
        <f>AVERAGE(AA8:AC8)</f>
        <v>1.6327322686986514</v>
      </c>
      <c r="AE8" s="167">
        <f>AVERAGE(AB8:AD8)</f>
        <v>1.63314119215061</v>
      </c>
      <c r="AF8" s="202">
        <v>1.6131855349658466</v>
      </c>
      <c r="AG8" s="202">
        <f>AVERAGE(AD8:AF8)</f>
        <v>1.626352998605036</v>
      </c>
      <c r="AH8" s="202">
        <f>AVERAGE(AE8:AG8)</f>
        <v>1.6242265752404974</v>
      </c>
      <c r="AI8" s="437">
        <f>AVERAGE(AF8:AH8)</f>
        <v>1.6212550362704601</v>
      </c>
      <c r="AJ8" s="175">
        <f t="shared" ref="AJ8:AJ42" si="2">AI8/AH8*100-100</f>
        <v>-0.18295101282880921</v>
      </c>
      <c r="AK8" s="175" t="s">
        <v>22</v>
      </c>
    </row>
    <row r="9" spans="1:37" ht="12.75" customHeight="1" x14ac:dyDescent="0.2">
      <c r="A9" s="15"/>
      <c r="B9" s="88" t="s">
        <v>5</v>
      </c>
      <c r="C9" s="101">
        <v>0</v>
      </c>
      <c r="D9" s="101">
        <v>0.75</v>
      </c>
      <c r="E9" s="151">
        <v>0.64</v>
      </c>
      <c r="F9" s="151">
        <v>0.45400000000000001</v>
      </c>
      <c r="G9" s="151">
        <v>0.25900000000000001</v>
      </c>
      <c r="H9" s="151">
        <v>0.3</v>
      </c>
      <c r="I9" s="151">
        <v>0.36</v>
      </c>
      <c r="J9" s="151">
        <v>0.41</v>
      </c>
      <c r="K9" s="151">
        <v>0.36</v>
      </c>
      <c r="L9" s="151">
        <v>0.26</v>
      </c>
      <c r="M9" s="151">
        <v>0.24399999999999999</v>
      </c>
      <c r="N9" s="151">
        <v>0.33</v>
      </c>
      <c r="O9" s="151">
        <v>0.379</v>
      </c>
      <c r="P9" s="151">
        <v>0.33900000000000002</v>
      </c>
      <c r="Q9" s="151">
        <v>0.28599999999999998</v>
      </c>
      <c r="R9" s="151">
        <v>0.28199999999999997</v>
      </c>
      <c r="S9" s="151">
        <v>0.27400000000000002</v>
      </c>
      <c r="T9" s="151">
        <v>0.35199999999999998</v>
      </c>
      <c r="U9" s="151">
        <v>0.35659999999999997</v>
      </c>
      <c r="V9" s="151">
        <v>0.41959999999999997</v>
      </c>
      <c r="W9" s="151">
        <v>0.41980000000000001</v>
      </c>
      <c r="X9" s="151">
        <v>0.4365</v>
      </c>
      <c r="Y9" s="151">
        <v>0.41449999999999998</v>
      </c>
      <c r="Z9" s="151">
        <v>0.48080000000000001</v>
      </c>
      <c r="AA9" s="151">
        <v>0.57289999999999996</v>
      </c>
      <c r="AB9" s="151">
        <v>0.63300000000000001</v>
      </c>
      <c r="AC9" s="151">
        <v>0.58299999999999996</v>
      </c>
      <c r="AD9" s="151">
        <v>0.66100000000000003</v>
      </c>
      <c r="AE9" s="151">
        <v>0.71</v>
      </c>
      <c r="AF9" s="151">
        <v>0.70579999999999998</v>
      </c>
      <c r="AG9" s="151">
        <v>0.67079999999999995</v>
      </c>
      <c r="AH9" s="151">
        <f>735/1000</f>
        <v>0.73499999999999999</v>
      </c>
      <c r="AI9" s="183">
        <f>0.559</f>
        <v>0.55900000000000005</v>
      </c>
      <c r="AJ9" s="339">
        <f t="shared" si="2"/>
        <v>-23.945578231292501</v>
      </c>
      <c r="AK9" s="339" t="s">
        <v>5</v>
      </c>
    </row>
    <row r="10" spans="1:37" ht="12.75" customHeight="1" x14ac:dyDescent="0.2">
      <c r="A10" s="15"/>
      <c r="B10" s="17" t="s">
        <v>7</v>
      </c>
      <c r="C10" s="95"/>
      <c r="D10" s="95"/>
      <c r="E10" s="57"/>
      <c r="F10" s="57"/>
      <c r="G10" s="57"/>
      <c r="H10" s="141">
        <v>1.98</v>
      </c>
      <c r="I10" s="57">
        <v>2.1800000000000002</v>
      </c>
      <c r="J10" s="57">
        <v>2.2759999999999998</v>
      </c>
      <c r="K10" s="57">
        <v>2.27</v>
      </c>
      <c r="L10" s="57">
        <v>2.11</v>
      </c>
      <c r="M10" s="57">
        <v>2.0779999999999998</v>
      </c>
      <c r="N10" s="57">
        <v>1.7949999999999999</v>
      </c>
      <c r="O10" s="57">
        <v>1.6120000000000001</v>
      </c>
      <c r="P10" s="57">
        <v>1.661</v>
      </c>
      <c r="Q10" s="57">
        <v>1.7170000000000001</v>
      </c>
      <c r="R10" s="57">
        <v>1.82</v>
      </c>
      <c r="S10" s="57">
        <v>1.9019999999999999</v>
      </c>
      <c r="T10" s="57">
        <v>2.2589999999999999</v>
      </c>
      <c r="U10" s="57">
        <v>2.2909999999999999</v>
      </c>
      <c r="V10" s="57">
        <v>2.0790000000000002</v>
      </c>
      <c r="W10" s="57">
        <v>2.3149999999999999</v>
      </c>
      <c r="X10" s="57">
        <v>2.1560000000000001</v>
      </c>
      <c r="Y10" s="57">
        <v>2.1909999999999998</v>
      </c>
      <c r="Z10" s="57">
        <v>1.9537</v>
      </c>
      <c r="AA10" s="57">
        <v>1.907</v>
      </c>
      <c r="AB10" s="57">
        <v>1.9330000000000001</v>
      </c>
      <c r="AC10" s="57">
        <v>2.0630000000000002</v>
      </c>
      <c r="AD10" s="57">
        <v>2.0230000000000001</v>
      </c>
      <c r="AE10" s="57">
        <v>1.5880000000000001</v>
      </c>
      <c r="AF10" s="57">
        <v>2.165</v>
      </c>
      <c r="AG10" s="57">
        <v>2.1070000000000002</v>
      </c>
      <c r="AH10" s="57">
        <f>2050/1000</f>
        <v>2.0499999999999998</v>
      </c>
      <c r="AI10" s="163">
        <f>1.674</f>
        <v>1.6739999999999999</v>
      </c>
      <c r="AJ10" s="175">
        <f t="shared" si="2"/>
        <v>-18.341463414634134</v>
      </c>
      <c r="AK10" s="175" t="s">
        <v>7</v>
      </c>
    </row>
    <row r="11" spans="1:37" ht="12.75" customHeight="1" x14ac:dyDescent="0.2">
      <c r="A11" s="15"/>
      <c r="B11" s="88" t="s">
        <v>18</v>
      </c>
      <c r="C11" s="101"/>
      <c r="D11" s="101"/>
      <c r="E11" s="151">
        <v>2.016</v>
      </c>
      <c r="F11" s="151">
        <v>2.3610000000000002</v>
      </c>
      <c r="G11" s="151">
        <v>2.6240000000000001</v>
      </c>
      <c r="H11" s="151">
        <v>2.7970000000000002</v>
      </c>
      <c r="I11" s="151">
        <v>3.0870000000000002</v>
      </c>
      <c r="J11" s="151">
        <v>3.109</v>
      </c>
      <c r="K11" s="151">
        <v>3.4609999999999999</v>
      </c>
      <c r="L11" s="151">
        <v>3.823</v>
      </c>
      <c r="M11" s="151">
        <v>3.9209999999999998</v>
      </c>
      <c r="N11" s="151">
        <v>4.2709999999999999</v>
      </c>
      <c r="O11" s="151">
        <v>4.6900000000000004</v>
      </c>
      <c r="P11" s="151">
        <v>4.6950000000000003</v>
      </c>
      <c r="Q11" s="151">
        <v>5.1029999999999998</v>
      </c>
      <c r="R11" s="151">
        <v>5.1539999999999999</v>
      </c>
      <c r="S11" s="151">
        <v>5.2539999999999996</v>
      </c>
      <c r="T11" s="151">
        <v>5.125</v>
      </c>
      <c r="U11" s="151">
        <v>4.8719999999999999</v>
      </c>
      <c r="V11" s="151">
        <v>4.6269999999999998</v>
      </c>
      <c r="W11" s="151">
        <v>4.2089999999999996</v>
      </c>
      <c r="X11" s="151">
        <v>3.895</v>
      </c>
      <c r="Y11" s="151">
        <v>3.5470000000000002</v>
      </c>
      <c r="Z11" s="151">
        <v>3.2650000000000001</v>
      </c>
      <c r="AA11" s="156">
        <v>3.0779999999999998</v>
      </c>
      <c r="AB11" s="156">
        <v>2.7389999999999999</v>
      </c>
      <c r="AC11" s="156">
        <v>2.4089999999999998</v>
      </c>
      <c r="AD11" s="156">
        <v>2.258</v>
      </c>
      <c r="AE11" s="156">
        <v>2.0259999999999998</v>
      </c>
      <c r="AF11" s="156">
        <f>2316/1000</f>
        <v>2.3159999999999998</v>
      </c>
      <c r="AG11" s="156">
        <f>2062/1000</f>
        <v>2.0619999999999998</v>
      </c>
      <c r="AH11" s="156">
        <f>1484/1000</f>
        <v>1.484</v>
      </c>
      <c r="AI11" s="183">
        <f>0.975</f>
        <v>0.97499999999999998</v>
      </c>
      <c r="AJ11" s="339">
        <f t="shared" si="2"/>
        <v>-34.299191374663067</v>
      </c>
      <c r="AK11" s="339" t="s">
        <v>18</v>
      </c>
    </row>
    <row r="12" spans="1:37" ht="12.75" customHeight="1" x14ac:dyDescent="0.2">
      <c r="A12" s="15"/>
      <c r="B12" s="17" t="s">
        <v>23</v>
      </c>
      <c r="C12" s="95">
        <v>16.899999999999999</v>
      </c>
      <c r="D12" s="95">
        <v>14.3</v>
      </c>
      <c r="E12" s="57">
        <v>13.3</v>
      </c>
      <c r="F12" s="200">
        <v>15.7</v>
      </c>
      <c r="G12" s="57">
        <v>15.7</v>
      </c>
      <c r="H12" s="57">
        <v>16.100000000000001</v>
      </c>
      <c r="I12" s="149">
        <v>16.8</v>
      </c>
      <c r="J12" s="57">
        <v>14.757</v>
      </c>
      <c r="K12" s="57">
        <v>14.5</v>
      </c>
      <c r="L12" s="57">
        <v>13.151</v>
      </c>
      <c r="M12" s="57">
        <v>14.849</v>
      </c>
      <c r="N12" s="57">
        <v>14.965999999999999</v>
      </c>
      <c r="O12" s="57">
        <v>15.032999999999999</v>
      </c>
      <c r="P12" s="57">
        <v>15.760999999999999</v>
      </c>
      <c r="Q12" s="57">
        <v>15.205</v>
      </c>
      <c r="R12" s="57">
        <v>15.407</v>
      </c>
      <c r="S12" s="57">
        <v>16.236000000000001</v>
      </c>
      <c r="T12" s="57">
        <v>16.741</v>
      </c>
      <c r="U12" s="57">
        <v>15.843999999999999</v>
      </c>
      <c r="V12" s="57">
        <v>15.824</v>
      </c>
      <c r="W12" s="57">
        <v>15.67</v>
      </c>
      <c r="X12" s="57">
        <v>15.95</v>
      </c>
      <c r="Y12" s="57">
        <v>16.259</v>
      </c>
      <c r="Z12" s="57">
        <v>15.622999999999999</v>
      </c>
      <c r="AA12" s="57">
        <v>16.207000000000001</v>
      </c>
      <c r="AB12" s="57">
        <v>18.18</v>
      </c>
      <c r="AC12" s="57">
        <v>17.541</v>
      </c>
      <c r="AD12" s="57">
        <v>17.713000000000001</v>
      </c>
      <c r="AE12" s="57">
        <v>18.760999999999999</v>
      </c>
      <c r="AF12" s="57">
        <v>18.239999999999998</v>
      </c>
      <c r="AG12" s="57">
        <v>17.234000000000002</v>
      </c>
      <c r="AH12" s="57">
        <f>17649/1000</f>
        <v>17.649000000000001</v>
      </c>
      <c r="AI12" s="163">
        <f>16.686</f>
        <v>16.686</v>
      </c>
      <c r="AJ12" s="175">
        <f t="shared" si="2"/>
        <v>-5.4563997960224384</v>
      </c>
      <c r="AK12" s="175" t="s">
        <v>23</v>
      </c>
    </row>
    <row r="13" spans="1:37" ht="12.75" customHeight="1" x14ac:dyDescent="0.2">
      <c r="A13" s="15"/>
      <c r="B13" s="88" t="s">
        <v>8</v>
      </c>
      <c r="C13" s="101" t="s">
        <v>35</v>
      </c>
      <c r="D13" s="101" t="s">
        <v>35</v>
      </c>
      <c r="E13" s="151" t="s">
        <v>35</v>
      </c>
      <c r="F13" s="151" t="s">
        <v>35</v>
      </c>
      <c r="G13" s="151" t="s">
        <v>35</v>
      </c>
      <c r="H13" s="151" t="s">
        <v>35</v>
      </c>
      <c r="I13" s="151" t="s">
        <v>35</v>
      </c>
      <c r="J13" s="151" t="s">
        <v>35</v>
      </c>
      <c r="K13" s="151" t="s">
        <v>35</v>
      </c>
      <c r="L13" s="151" t="s">
        <v>35</v>
      </c>
      <c r="M13" s="151" t="s">
        <v>35</v>
      </c>
      <c r="N13" s="151" t="s">
        <v>35</v>
      </c>
      <c r="O13" s="151" t="s">
        <v>35</v>
      </c>
      <c r="P13" s="151" t="s">
        <v>35</v>
      </c>
      <c r="Q13" s="151" t="s">
        <v>35</v>
      </c>
      <c r="R13" s="151" t="s">
        <v>35</v>
      </c>
      <c r="S13" s="151" t="s">
        <v>35</v>
      </c>
      <c r="T13" s="151" t="s">
        <v>35</v>
      </c>
      <c r="U13" s="151" t="s">
        <v>35</v>
      </c>
      <c r="V13" s="151" t="s">
        <v>35</v>
      </c>
      <c r="W13" s="151" t="s">
        <v>35</v>
      </c>
      <c r="X13" s="151" t="s">
        <v>35</v>
      </c>
      <c r="Y13" s="151" t="s">
        <v>35</v>
      </c>
      <c r="Z13" s="151" t="s">
        <v>35</v>
      </c>
      <c r="AA13" s="156" t="s">
        <v>35</v>
      </c>
      <c r="AB13" s="156" t="s">
        <v>35</v>
      </c>
      <c r="AC13" s="156" t="s">
        <v>35</v>
      </c>
      <c r="AD13" s="156" t="s">
        <v>35</v>
      </c>
      <c r="AE13" s="156" t="s">
        <v>35</v>
      </c>
      <c r="AF13" s="156" t="s">
        <v>35</v>
      </c>
      <c r="AG13" s="156" t="s">
        <v>35</v>
      </c>
      <c r="AH13" s="156" t="s">
        <v>35</v>
      </c>
      <c r="AI13" s="183" t="s">
        <v>35</v>
      </c>
      <c r="AJ13" s="474" t="s">
        <v>35</v>
      </c>
      <c r="AK13" s="339" t="s">
        <v>8</v>
      </c>
    </row>
    <row r="14" spans="1:37" ht="12.75" customHeight="1" x14ac:dyDescent="0.2">
      <c r="A14" s="15"/>
      <c r="B14" s="17" t="s">
        <v>26</v>
      </c>
      <c r="C14" s="96" t="s">
        <v>35</v>
      </c>
      <c r="D14" s="96" t="s">
        <v>35</v>
      </c>
      <c r="E14" s="161" t="s">
        <v>35</v>
      </c>
      <c r="F14" s="161" t="s">
        <v>35</v>
      </c>
      <c r="G14" s="161" t="s">
        <v>35</v>
      </c>
      <c r="H14" s="161" t="s">
        <v>35</v>
      </c>
      <c r="I14" s="161" t="s">
        <v>35</v>
      </c>
      <c r="J14" s="161" t="s">
        <v>35</v>
      </c>
      <c r="K14" s="161" t="s">
        <v>35</v>
      </c>
      <c r="L14" s="161" t="s">
        <v>35</v>
      </c>
      <c r="M14" s="161" t="s">
        <v>35</v>
      </c>
      <c r="N14" s="161" t="s">
        <v>35</v>
      </c>
      <c r="O14" s="161" t="s">
        <v>35</v>
      </c>
      <c r="P14" s="161" t="s">
        <v>35</v>
      </c>
      <c r="Q14" s="161" t="s">
        <v>35</v>
      </c>
      <c r="R14" s="161" t="s">
        <v>35</v>
      </c>
      <c r="S14" s="161" t="s">
        <v>35</v>
      </c>
      <c r="T14" s="161" t="s">
        <v>35</v>
      </c>
      <c r="U14" s="161" t="s">
        <v>35</v>
      </c>
      <c r="V14" s="161" t="s">
        <v>35</v>
      </c>
      <c r="W14" s="161" t="s">
        <v>35</v>
      </c>
      <c r="X14" s="161" t="s">
        <v>35</v>
      </c>
      <c r="Y14" s="161" t="s">
        <v>35</v>
      </c>
      <c r="Z14" s="161" t="s">
        <v>35</v>
      </c>
      <c r="AA14" s="148" t="s">
        <v>35</v>
      </c>
      <c r="AB14" s="148" t="s">
        <v>35</v>
      </c>
      <c r="AC14" s="148" t="s">
        <v>35</v>
      </c>
      <c r="AD14" s="148" t="s">
        <v>35</v>
      </c>
      <c r="AE14" s="148" t="s">
        <v>35</v>
      </c>
      <c r="AF14" s="148" t="s">
        <v>35</v>
      </c>
      <c r="AG14" s="148" t="s">
        <v>35</v>
      </c>
      <c r="AH14" s="148" t="s">
        <v>35</v>
      </c>
      <c r="AI14" s="184" t="s">
        <v>35</v>
      </c>
      <c r="AJ14" s="473" t="s">
        <v>35</v>
      </c>
      <c r="AK14" s="175" t="s">
        <v>26</v>
      </c>
    </row>
    <row r="15" spans="1:37" ht="12.75" customHeight="1" x14ac:dyDescent="0.2">
      <c r="A15" s="15"/>
      <c r="B15" s="88" t="s">
        <v>19</v>
      </c>
      <c r="C15" s="101" t="s">
        <v>35</v>
      </c>
      <c r="D15" s="101" t="s">
        <v>35</v>
      </c>
      <c r="E15" s="151" t="s">
        <v>35</v>
      </c>
      <c r="F15" s="151" t="s">
        <v>35</v>
      </c>
      <c r="G15" s="151" t="s">
        <v>35</v>
      </c>
      <c r="H15" s="151" t="s">
        <v>35</v>
      </c>
      <c r="I15" s="151" t="s">
        <v>35</v>
      </c>
      <c r="J15" s="151" t="s">
        <v>35</v>
      </c>
      <c r="K15" s="151" t="s">
        <v>35</v>
      </c>
      <c r="L15" s="151" t="s">
        <v>35</v>
      </c>
      <c r="M15" s="151" t="s">
        <v>35</v>
      </c>
      <c r="N15" s="151" t="s">
        <v>35</v>
      </c>
      <c r="O15" s="151" t="s">
        <v>35</v>
      </c>
      <c r="P15" s="151" t="s">
        <v>35</v>
      </c>
      <c r="Q15" s="151">
        <v>0.02</v>
      </c>
      <c r="R15" s="151">
        <v>0.06</v>
      </c>
      <c r="S15" s="199">
        <v>0.19700000000000001</v>
      </c>
      <c r="T15" s="151">
        <v>0.22900000000000001</v>
      </c>
      <c r="U15" s="151">
        <v>0.253</v>
      </c>
      <c r="V15" s="151">
        <v>0.254</v>
      </c>
      <c r="W15" s="156">
        <v>0.254</v>
      </c>
      <c r="X15" s="159">
        <v>0.18513600473552563</v>
      </c>
      <c r="Y15" s="159">
        <v>0.18896090127596751</v>
      </c>
      <c r="Z15" s="159">
        <v>0.24139480017087667</v>
      </c>
      <c r="AA15" s="419">
        <v>0.2116849713538852</v>
      </c>
      <c r="AB15" s="156">
        <v>1.5939999999999999E-2</v>
      </c>
      <c r="AC15" s="156">
        <v>1.8499999999999999E-2</v>
      </c>
      <c r="AD15" s="156">
        <v>2.24E-2</v>
      </c>
      <c r="AE15" s="156">
        <v>2.4820000000000002E-2</v>
      </c>
      <c r="AF15" s="156">
        <v>2.6629999999999997E-2</v>
      </c>
      <c r="AG15" s="156">
        <f>31/1000</f>
        <v>3.1E-2</v>
      </c>
      <c r="AH15" s="156">
        <f>30.8/1000</f>
        <v>3.0800000000000001E-2</v>
      </c>
      <c r="AI15" s="159">
        <f>AVERAGE(AF15:AH15)</f>
        <v>2.9476666666666668E-2</v>
      </c>
      <c r="AJ15" s="339">
        <f t="shared" si="2"/>
        <v>-4.2965367965367989</v>
      </c>
      <c r="AK15" s="339" t="s">
        <v>19</v>
      </c>
    </row>
    <row r="16" spans="1:37" ht="12.75" customHeight="1" x14ac:dyDescent="0.2">
      <c r="A16" s="15"/>
      <c r="B16" s="17" t="s">
        <v>24</v>
      </c>
      <c r="C16" s="96">
        <v>1.0229999999999999</v>
      </c>
      <c r="D16" s="96">
        <v>3.0049999999999999</v>
      </c>
      <c r="E16" s="161">
        <v>4.2149999999999999</v>
      </c>
      <c r="F16" s="161">
        <v>4.78</v>
      </c>
      <c r="G16" s="161">
        <v>5.266</v>
      </c>
      <c r="H16" s="161">
        <v>5.4089999999999998</v>
      </c>
      <c r="I16" s="161">
        <v>5.4790000000000001</v>
      </c>
      <c r="J16" s="161">
        <v>5.8869999999999996</v>
      </c>
      <c r="K16" s="161">
        <v>6.1130000000000004</v>
      </c>
      <c r="L16" s="161">
        <v>6.5339999999999998</v>
      </c>
      <c r="M16" s="161">
        <v>6.8719999999999999</v>
      </c>
      <c r="N16" s="161">
        <v>7.0309999999999997</v>
      </c>
      <c r="O16" s="161">
        <v>7.4660000000000002</v>
      </c>
      <c r="P16" s="161">
        <v>7.7629999999999999</v>
      </c>
      <c r="Q16" s="161">
        <v>7.8029999999999999</v>
      </c>
      <c r="R16" s="161">
        <v>7.319</v>
      </c>
      <c r="S16" s="161">
        <v>8.2789999999999999</v>
      </c>
      <c r="T16" s="161">
        <v>9.2279999999999998</v>
      </c>
      <c r="U16" s="161">
        <v>9.2240000000000002</v>
      </c>
      <c r="V16" s="161">
        <v>8.9359999999999999</v>
      </c>
      <c r="W16" s="161">
        <v>9.141</v>
      </c>
      <c r="X16" s="161">
        <v>8.23</v>
      </c>
      <c r="Y16" s="161">
        <v>8.1820000000000004</v>
      </c>
      <c r="Z16" s="161">
        <v>8.6010000000000009</v>
      </c>
      <c r="AA16" s="148">
        <v>8.9</v>
      </c>
      <c r="AB16" s="148">
        <v>8.6910000000000007</v>
      </c>
      <c r="AC16" s="148">
        <v>8.9670000000000005</v>
      </c>
      <c r="AD16" s="148">
        <v>10.115</v>
      </c>
      <c r="AE16" s="148">
        <v>9.99</v>
      </c>
      <c r="AF16" s="148">
        <v>9.7129999999999992</v>
      </c>
      <c r="AG16" s="148">
        <v>9.9489999999999998</v>
      </c>
      <c r="AH16" s="148">
        <f>10464/1000</f>
        <v>10.464</v>
      </c>
      <c r="AI16" s="184">
        <f>7.763</f>
        <v>7.7629999999999999</v>
      </c>
      <c r="AJ16" s="175">
        <f t="shared" si="2"/>
        <v>-25.812308868501532</v>
      </c>
      <c r="AK16" s="175" t="s">
        <v>24</v>
      </c>
    </row>
    <row r="17" spans="1:37" ht="12.75" customHeight="1" x14ac:dyDescent="0.2">
      <c r="A17" s="15"/>
      <c r="B17" s="88" t="s">
        <v>25</v>
      </c>
      <c r="C17" s="101">
        <v>28.184000000000001</v>
      </c>
      <c r="D17" s="101">
        <v>34.673999999999999</v>
      </c>
      <c r="E17" s="151">
        <v>19.609000000000002</v>
      </c>
      <c r="F17" s="151">
        <v>22.501000000000001</v>
      </c>
      <c r="G17" s="151">
        <v>23.381</v>
      </c>
      <c r="H17" s="151">
        <v>23.312000000000001</v>
      </c>
      <c r="I17" s="151">
        <v>22.187000000000001</v>
      </c>
      <c r="J17" s="151">
        <v>22.274999999999999</v>
      </c>
      <c r="K17" s="151">
        <v>21.908999999999999</v>
      </c>
      <c r="L17" s="151">
        <v>22.088999999999999</v>
      </c>
      <c r="M17" s="151">
        <v>21.582000000000001</v>
      </c>
      <c r="N17" s="151">
        <v>21.321999999999999</v>
      </c>
      <c r="O17" s="151">
        <v>21.669</v>
      </c>
      <c r="P17" s="151">
        <v>22.14</v>
      </c>
      <c r="Q17" s="151">
        <v>20.954000000000001</v>
      </c>
      <c r="R17" s="151">
        <v>22.146999999999998</v>
      </c>
      <c r="S17" s="151">
        <v>20.559000000000001</v>
      </c>
      <c r="T17" s="151">
        <v>20.856000000000002</v>
      </c>
      <c r="U17" s="151">
        <v>22.2</v>
      </c>
      <c r="V17" s="151">
        <v>21.140999999999998</v>
      </c>
      <c r="W17" s="151">
        <v>20.917999999999999</v>
      </c>
      <c r="X17" s="151">
        <v>19.481000000000002</v>
      </c>
      <c r="Y17" s="151">
        <v>17.606999999999999</v>
      </c>
      <c r="Z17" s="151">
        <v>17.207000000000001</v>
      </c>
      <c r="AA17" s="151">
        <v>15.151</v>
      </c>
      <c r="AB17" s="151">
        <v>11.521000000000001</v>
      </c>
      <c r="AC17" s="151">
        <v>11.055</v>
      </c>
      <c r="AD17" s="151">
        <v>11.443</v>
      </c>
      <c r="AE17" s="151">
        <v>11.372999999999999</v>
      </c>
      <c r="AF17" s="151">
        <v>11.180999999999999</v>
      </c>
      <c r="AG17" s="151">
        <v>12.449</v>
      </c>
      <c r="AH17" s="151">
        <f>11807/1000</f>
        <v>11.807</v>
      </c>
      <c r="AI17" s="152">
        <f>9.514</f>
        <v>9.5139999999999993</v>
      </c>
      <c r="AJ17" s="339">
        <f t="shared" si="2"/>
        <v>-19.42068264588805</v>
      </c>
      <c r="AK17" s="339" t="s">
        <v>25</v>
      </c>
    </row>
    <row r="18" spans="1:37" ht="12.75" customHeight="1" x14ac:dyDescent="0.2">
      <c r="A18" s="15"/>
      <c r="B18" s="187" t="s">
        <v>36</v>
      </c>
      <c r="C18" s="188" t="s">
        <v>34</v>
      </c>
      <c r="D18" s="188" t="s">
        <v>34</v>
      </c>
      <c r="E18" s="189">
        <v>3.6</v>
      </c>
      <c r="F18" s="189" t="s">
        <v>34</v>
      </c>
      <c r="G18" s="189"/>
      <c r="H18" s="189"/>
      <c r="I18" s="189"/>
      <c r="J18" s="189" t="s">
        <v>34</v>
      </c>
      <c r="K18" s="189"/>
      <c r="L18" s="189">
        <v>0.72499999999999998</v>
      </c>
      <c r="M18" s="189">
        <v>0.95099999999999996</v>
      </c>
      <c r="N18" s="189">
        <v>0.623</v>
      </c>
      <c r="O18" s="189">
        <v>0.42799999999999999</v>
      </c>
      <c r="P18" s="189">
        <v>0.89700000000000002</v>
      </c>
      <c r="Q18" s="189">
        <v>1.286</v>
      </c>
      <c r="R18" s="189">
        <v>1.335</v>
      </c>
      <c r="S18" s="189">
        <v>1.5149999999999999</v>
      </c>
      <c r="T18" s="189">
        <v>1.5069999999999999</v>
      </c>
      <c r="U18" s="189">
        <v>1.2549999999999999</v>
      </c>
      <c r="V18" s="189">
        <v>1.4059999999999999</v>
      </c>
      <c r="W18" s="189">
        <v>1.3080000000000001</v>
      </c>
      <c r="X18" s="189">
        <v>1.4450000000000001</v>
      </c>
      <c r="Y18" s="189">
        <v>1.3</v>
      </c>
      <c r="Z18" s="189">
        <v>1.028</v>
      </c>
      <c r="AA18" s="189">
        <v>0.83799999999999997</v>
      </c>
      <c r="AB18" s="189">
        <v>1.127</v>
      </c>
      <c r="AC18" s="189">
        <v>1.1140000000000001</v>
      </c>
      <c r="AD18" s="189">
        <v>1.395</v>
      </c>
      <c r="AE18" s="189">
        <v>1.589</v>
      </c>
      <c r="AF18" s="189">
        <v>1.768</v>
      </c>
      <c r="AG18" s="189">
        <v>1.9850000000000001</v>
      </c>
      <c r="AH18" s="189">
        <f>1389/1000</f>
        <v>1.389</v>
      </c>
      <c r="AI18" s="219">
        <f>1.64</f>
        <v>1.64</v>
      </c>
      <c r="AJ18" s="438">
        <f t="shared" si="2"/>
        <v>18.070554355651552</v>
      </c>
      <c r="AK18" s="438" t="s">
        <v>36</v>
      </c>
    </row>
    <row r="19" spans="1:37" ht="12.75" customHeight="1" x14ac:dyDescent="0.2">
      <c r="A19" s="15"/>
      <c r="B19" s="88" t="s">
        <v>27</v>
      </c>
      <c r="C19" s="101">
        <v>7</v>
      </c>
      <c r="D19" s="101">
        <v>9</v>
      </c>
      <c r="E19" s="151">
        <v>9.1999999999999993</v>
      </c>
      <c r="F19" s="151">
        <v>9.3000000000000007</v>
      </c>
      <c r="G19" s="151">
        <v>9.4</v>
      </c>
      <c r="H19" s="151">
        <v>9.5</v>
      </c>
      <c r="I19" s="151">
        <v>9.6</v>
      </c>
      <c r="J19" s="151">
        <v>9.65</v>
      </c>
      <c r="K19" s="151">
        <v>10.1</v>
      </c>
      <c r="L19" s="151">
        <v>9.7970000000000006</v>
      </c>
      <c r="M19" s="151">
        <v>10.624000000000001</v>
      </c>
      <c r="N19" s="151">
        <v>10.409000000000001</v>
      </c>
      <c r="O19" s="151">
        <v>10.317</v>
      </c>
      <c r="P19" s="151">
        <v>10.69</v>
      </c>
      <c r="Q19" s="151">
        <v>10.692</v>
      </c>
      <c r="R19" s="151">
        <v>10.656000000000001</v>
      </c>
      <c r="S19" s="151">
        <v>10.699</v>
      </c>
      <c r="T19" s="151">
        <v>11.423</v>
      </c>
      <c r="U19" s="151">
        <v>11.446999999999999</v>
      </c>
      <c r="V19" s="151">
        <v>11.388</v>
      </c>
      <c r="W19" s="151">
        <v>11.266</v>
      </c>
      <c r="X19" s="151">
        <v>10.497</v>
      </c>
      <c r="Y19" s="151">
        <v>10.4</v>
      </c>
      <c r="Z19" s="151">
        <v>9.9540000000000006</v>
      </c>
      <c r="AA19" s="156">
        <v>10.066000000000001</v>
      </c>
      <c r="AB19" s="156">
        <v>10.023999999999999</v>
      </c>
      <c r="AC19" s="156">
        <v>9.5549999999999997</v>
      </c>
      <c r="AD19" s="156">
        <v>9.2129999999999992</v>
      </c>
      <c r="AE19" s="156">
        <v>9.9770000000000003</v>
      </c>
      <c r="AF19" s="156">
        <v>10.194000000000001</v>
      </c>
      <c r="AG19" s="156">
        <v>10.329000000000001</v>
      </c>
      <c r="AH19" s="156">
        <f>10099/1000</f>
        <v>10.099</v>
      </c>
      <c r="AI19" s="183">
        <f>9.057</f>
        <v>9.0570000000000004</v>
      </c>
      <c r="AJ19" s="169">
        <f t="shared" si="2"/>
        <v>-10.317853252797306</v>
      </c>
      <c r="AK19" s="339" t="s">
        <v>27</v>
      </c>
    </row>
    <row r="20" spans="1:37" ht="12.75" customHeight="1" x14ac:dyDescent="0.2">
      <c r="A20" s="15"/>
      <c r="B20" s="17" t="s">
        <v>6</v>
      </c>
      <c r="C20" s="114" t="s">
        <v>35</v>
      </c>
      <c r="D20" s="114" t="s">
        <v>35</v>
      </c>
      <c r="E20" s="114" t="s">
        <v>35</v>
      </c>
      <c r="F20" s="57" t="s">
        <v>35</v>
      </c>
      <c r="G20" s="57" t="s">
        <v>35</v>
      </c>
      <c r="H20" s="57" t="s">
        <v>35</v>
      </c>
      <c r="I20" s="57" t="s">
        <v>35</v>
      </c>
      <c r="J20" s="57" t="s">
        <v>35</v>
      </c>
      <c r="K20" s="57" t="s">
        <v>35</v>
      </c>
      <c r="L20" s="57" t="s">
        <v>35</v>
      </c>
      <c r="M20" s="57" t="s">
        <v>35</v>
      </c>
      <c r="N20" s="57" t="s">
        <v>35</v>
      </c>
      <c r="O20" s="57" t="s">
        <v>35</v>
      </c>
      <c r="P20" s="57" t="s">
        <v>35</v>
      </c>
      <c r="Q20" s="57" t="s">
        <v>35</v>
      </c>
      <c r="R20" s="57" t="s">
        <v>35</v>
      </c>
      <c r="S20" s="57" t="s">
        <v>35</v>
      </c>
      <c r="T20" s="57" t="s">
        <v>35</v>
      </c>
      <c r="U20" s="57" t="s">
        <v>35</v>
      </c>
      <c r="V20" s="57" t="s">
        <v>35</v>
      </c>
      <c r="W20" s="57" t="s">
        <v>35</v>
      </c>
      <c r="X20" s="57" t="s">
        <v>35</v>
      </c>
      <c r="Y20" s="57" t="s">
        <v>35</v>
      </c>
      <c r="Z20" s="57" t="s">
        <v>35</v>
      </c>
      <c r="AA20" s="57" t="s">
        <v>35</v>
      </c>
      <c r="AB20" s="154" t="s">
        <v>35</v>
      </c>
      <c r="AC20" s="154" t="s">
        <v>35</v>
      </c>
      <c r="AD20" s="154" t="s">
        <v>35</v>
      </c>
      <c r="AE20" s="154" t="s">
        <v>35</v>
      </c>
      <c r="AF20" s="148" t="s">
        <v>35</v>
      </c>
      <c r="AG20" s="148" t="s">
        <v>35</v>
      </c>
      <c r="AH20" s="148" t="s">
        <v>35</v>
      </c>
      <c r="AI20" s="184" t="s">
        <v>35</v>
      </c>
      <c r="AJ20" s="484" t="s">
        <v>35</v>
      </c>
      <c r="AK20" s="175" t="s">
        <v>6</v>
      </c>
    </row>
    <row r="21" spans="1:37" ht="12.75" customHeight="1" x14ac:dyDescent="0.2">
      <c r="A21" s="15"/>
      <c r="B21" s="88" t="s">
        <v>10</v>
      </c>
      <c r="C21" s="150" t="s">
        <v>0</v>
      </c>
      <c r="D21" s="150" t="s">
        <v>0</v>
      </c>
      <c r="E21" s="150" t="s">
        <v>0</v>
      </c>
      <c r="F21" s="151" t="s">
        <v>0</v>
      </c>
      <c r="G21" s="151" t="s">
        <v>0</v>
      </c>
      <c r="H21" s="151" t="s">
        <v>1</v>
      </c>
      <c r="I21" s="151">
        <v>4.5999999999999996</v>
      </c>
      <c r="J21" s="151">
        <v>5.3159999999999998</v>
      </c>
      <c r="K21" s="151">
        <v>6.06</v>
      </c>
      <c r="L21" s="151">
        <v>6.3620000000000001</v>
      </c>
      <c r="M21" s="151">
        <v>6.569</v>
      </c>
      <c r="N21" s="151">
        <v>6.0549999999999997</v>
      </c>
      <c r="O21" s="151">
        <v>6.4669999999999996</v>
      </c>
      <c r="P21" s="151">
        <v>7.524</v>
      </c>
      <c r="Q21" s="151">
        <v>5.0709999999999997</v>
      </c>
      <c r="R21" s="151">
        <v>3.15</v>
      </c>
      <c r="S21" s="151">
        <v>3.2519999999999998</v>
      </c>
      <c r="T21" s="151">
        <v>3.3809999999999998</v>
      </c>
      <c r="U21" s="151">
        <v>3.6280000000000001</v>
      </c>
      <c r="V21" s="151">
        <v>2.7109999999999999</v>
      </c>
      <c r="W21" s="151">
        <v>2.097</v>
      </c>
      <c r="X21" s="151">
        <v>1.573</v>
      </c>
      <c r="Y21" s="151">
        <v>2.35</v>
      </c>
      <c r="Z21" s="151">
        <v>2.4159999999999999</v>
      </c>
      <c r="AA21" s="151">
        <v>2.6309999999999998</v>
      </c>
      <c r="AB21" s="151">
        <v>2.2789999999999999</v>
      </c>
      <c r="AC21" s="151">
        <v>2.3759999999999999</v>
      </c>
      <c r="AD21" s="151">
        <v>1.9650000000000001</v>
      </c>
      <c r="AE21" s="151">
        <v>1.5069999999999999</v>
      </c>
      <c r="AF21" s="151">
        <v>1.411</v>
      </c>
      <c r="AG21" s="151">
        <v>1.109</v>
      </c>
      <c r="AH21" s="156">
        <f>923.4/1000</f>
        <v>0.9234</v>
      </c>
      <c r="AI21" s="183">
        <f>0.516</f>
        <v>0.51600000000000001</v>
      </c>
      <c r="AJ21" s="169">
        <f t="shared" si="2"/>
        <v>-44.11955815464588</v>
      </c>
      <c r="AK21" s="339" t="s">
        <v>10</v>
      </c>
    </row>
    <row r="22" spans="1:37" ht="12.75" customHeight="1" x14ac:dyDescent="0.2">
      <c r="A22" s="15"/>
      <c r="B22" s="17" t="s">
        <v>11</v>
      </c>
      <c r="C22" s="114" t="s">
        <v>0</v>
      </c>
      <c r="D22" s="114" t="s">
        <v>0</v>
      </c>
      <c r="E22" s="114" t="s">
        <v>0</v>
      </c>
      <c r="F22" s="57" t="s">
        <v>0</v>
      </c>
      <c r="G22" s="57" t="s">
        <v>0</v>
      </c>
      <c r="H22" s="57">
        <v>2</v>
      </c>
      <c r="I22" s="57">
        <v>1.9</v>
      </c>
      <c r="J22" s="57">
        <v>2.0059999999999998</v>
      </c>
      <c r="K22" s="57">
        <v>2.3079999999999998</v>
      </c>
      <c r="L22" s="57">
        <v>2.6560000000000001</v>
      </c>
      <c r="M22" s="57">
        <v>2.964</v>
      </c>
      <c r="N22" s="57">
        <v>2.6269999999999998</v>
      </c>
      <c r="O22" s="57">
        <v>3.4566999999999997</v>
      </c>
      <c r="P22" s="57">
        <v>4.7796000000000003</v>
      </c>
      <c r="Q22" s="57">
        <v>4.8916000000000004</v>
      </c>
      <c r="R22" s="57">
        <v>5.0848000000000004</v>
      </c>
      <c r="S22" s="57">
        <v>4.2873999999999999</v>
      </c>
      <c r="T22" s="57">
        <v>4.4059999999999997</v>
      </c>
      <c r="U22" s="57">
        <v>2.67</v>
      </c>
      <c r="V22" s="57">
        <v>1.032</v>
      </c>
      <c r="W22" s="57">
        <v>0.52700000000000002</v>
      </c>
      <c r="X22" s="57">
        <v>0.4103</v>
      </c>
      <c r="Y22" s="57">
        <v>0.5786</v>
      </c>
      <c r="Z22" s="57">
        <v>0.59139999999999993</v>
      </c>
      <c r="AA22" s="154">
        <v>0.63219999999999998</v>
      </c>
      <c r="AB22" s="154">
        <v>0.56299999999999994</v>
      </c>
      <c r="AC22" s="154">
        <v>0.56699999999999995</v>
      </c>
      <c r="AD22" s="154">
        <v>0.496</v>
      </c>
      <c r="AE22" s="154">
        <v>0.40600000000000003</v>
      </c>
      <c r="AF22" s="154">
        <v>0.39100000000000001</v>
      </c>
      <c r="AG22" s="154">
        <v>0.32639999999999997</v>
      </c>
      <c r="AH22" s="154">
        <f>329.5/1000</f>
        <v>0.32950000000000002</v>
      </c>
      <c r="AI22" s="174">
        <f>0.209</f>
        <v>0.20899999999999999</v>
      </c>
      <c r="AJ22" s="170">
        <f t="shared" si="2"/>
        <v>-36.570561456752657</v>
      </c>
      <c r="AK22" s="175" t="s">
        <v>11</v>
      </c>
    </row>
    <row r="23" spans="1:37" ht="12.75" customHeight="1" x14ac:dyDescent="0.2">
      <c r="A23" s="15"/>
      <c r="B23" s="88" t="s">
        <v>28</v>
      </c>
      <c r="C23" s="150" t="s">
        <v>35</v>
      </c>
      <c r="D23" s="150" t="s">
        <v>35</v>
      </c>
      <c r="E23" s="150" t="s">
        <v>35</v>
      </c>
      <c r="F23" s="151" t="s">
        <v>35</v>
      </c>
      <c r="G23" s="151" t="s">
        <v>35</v>
      </c>
      <c r="H23" s="151" t="s">
        <v>35</v>
      </c>
      <c r="I23" s="151" t="s">
        <v>35</v>
      </c>
      <c r="J23" s="151" t="s">
        <v>35</v>
      </c>
      <c r="K23" s="151" t="s">
        <v>35</v>
      </c>
      <c r="L23" s="151" t="s">
        <v>35</v>
      </c>
      <c r="M23" s="151" t="s">
        <v>35</v>
      </c>
      <c r="N23" s="151" t="s">
        <v>35</v>
      </c>
      <c r="O23" s="151" t="s">
        <v>35</v>
      </c>
      <c r="P23" s="151" t="s">
        <v>35</v>
      </c>
      <c r="Q23" s="151" t="s">
        <v>35</v>
      </c>
      <c r="R23" s="151" t="s">
        <v>35</v>
      </c>
      <c r="S23" s="151" t="s">
        <v>35</v>
      </c>
      <c r="T23" s="151" t="s">
        <v>35</v>
      </c>
      <c r="U23" s="151" t="s">
        <v>35</v>
      </c>
      <c r="V23" s="151" t="s">
        <v>35</v>
      </c>
      <c r="W23" s="151" t="s">
        <v>35</v>
      </c>
      <c r="X23" s="151" t="s">
        <v>35</v>
      </c>
      <c r="Y23" s="151" t="s">
        <v>35</v>
      </c>
      <c r="Z23" s="151" t="s">
        <v>35</v>
      </c>
      <c r="AA23" s="151" t="s">
        <v>35</v>
      </c>
      <c r="AB23" s="156" t="s">
        <v>35</v>
      </c>
      <c r="AC23" s="156" t="s">
        <v>35</v>
      </c>
      <c r="AD23" s="156" t="s">
        <v>35</v>
      </c>
      <c r="AE23" s="156" t="s">
        <v>35</v>
      </c>
      <c r="AF23" s="156" t="s">
        <v>35</v>
      </c>
      <c r="AG23" s="156" t="s">
        <v>35</v>
      </c>
      <c r="AH23" s="156" t="s">
        <v>35</v>
      </c>
      <c r="AI23" s="183" t="s">
        <v>35</v>
      </c>
      <c r="AJ23" s="462" t="s">
        <v>35</v>
      </c>
      <c r="AK23" s="339" t="s">
        <v>28</v>
      </c>
    </row>
    <row r="24" spans="1:37" ht="12.75" customHeight="1" x14ac:dyDescent="0.2">
      <c r="A24" s="15"/>
      <c r="B24" s="17" t="s">
        <v>9</v>
      </c>
      <c r="C24" s="153" t="s">
        <v>34</v>
      </c>
      <c r="D24" s="153" t="s">
        <v>34</v>
      </c>
      <c r="E24" s="153">
        <v>5.2869999999999999</v>
      </c>
      <c r="F24" s="154" t="s">
        <v>34</v>
      </c>
      <c r="G24" s="154" t="s">
        <v>34</v>
      </c>
      <c r="H24" s="154" t="s">
        <v>34</v>
      </c>
      <c r="I24" s="154" t="s">
        <v>34</v>
      </c>
      <c r="J24" s="154">
        <v>2.1812999999999998</v>
      </c>
      <c r="K24" s="154">
        <v>2.3511000000000002</v>
      </c>
      <c r="L24" s="154">
        <v>1.81</v>
      </c>
      <c r="M24" s="154">
        <v>1.9370000000000001</v>
      </c>
      <c r="N24" s="154">
        <v>2.3159999999999998</v>
      </c>
      <c r="O24" s="154">
        <v>2.2629999999999999</v>
      </c>
      <c r="P24" s="154">
        <v>2.5209999999999999</v>
      </c>
      <c r="Q24" s="154">
        <v>2.4449999999999998</v>
      </c>
      <c r="R24" s="154">
        <v>2.4159999999999999</v>
      </c>
      <c r="S24" s="154">
        <v>2.5459999999999998</v>
      </c>
      <c r="T24" s="154">
        <v>2.6829999999999998</v>
      </c>
      <c r="U24" s="154">
        <v>3.0409999999999999</v>
      </c>
      <c r="V24" s="154">
        <v>2.9870000000000001</v>
      </c>
      <c r="W24" s="154">
        <v>2.9746999999999999</v>
      </c>
      <c r="X24" s="154">
        <v>3.0104000000000002</v>
      </c>
      <c r="Y24" s="154">
        <v>3.2136999999999998</v>
      </c>
      <c r="Z24" s="154">
        <v>3.1190000000000002</v>
      </c>
      <c r="AA24" s="154">
        <v>2.7597100000000001</v>
      </c>
      <c r="AB24" s="154">
        <v>2.7024599999999999</v>
      </c>
      <c r="AC24" s="154">
        <v>2.7970000000000002</v>
      </c>
      <c r="AD24" s="154">
        <v>2.46488</v>
      </c>
      <c r="AE24" s="154">
        <v>2.2796400000000001</v>
      </c>
      <c r="AF24" s="154">
        <v>2.3830800000000001</v>
      </c>
      <c r="AG24" s="154">
        <v>2.4969699999999997</v>
      </c>
      <c r="AH24" s="154">
        <f>2453/1000</f>
        <v>2.4529999999999998</v>
      </c>
      <c r="AI24" s="174">
        <f>2.38</f>
        <v>2.38</v>
      </c>
      <c r="AJ24" s="170">
        <f t="shared" si="2"/>
        <v>-2.975947818997156</v>
      </c>
      <c r="AK24" s="175" t="s">
        <v>9</v>
      </c>
    </row>
    <row r="25" spans="1:37" ht="12.75" customHeight="1" x14ac:dyDescent="0.2">
      <c r="A25" s="15"/>
      <c r="B25" s="56" t="s">
        <v>12</v>
      </c>
      <c r="C25" s="158" t="s">
        <v>35</v>
      </c>
      <c r="D25" s="158" t="s">
        <v>35</v>
      </c>
      <c r="E25" s="158" t="s">
        <v>35</v>
      </c>
      <c r="F25" s="159" t="s">
        <v>35</v>
      </c>
      <c r="G25" s="159" t="s">
        <v>35</v>
      </c>
      <c r="H25" s="159" t="s">
        <v>35</v>
      </c>
      <c r="I25" s="159" t="s">
        <v>35</v>
      </c>
      <c r="J25" s="159" t="s">
        <v>35</v>
      </c>
      <c r="K25" s="159" t="s">
        <v>35</v>
      </c>
      <c r="L25" s="159" t="s">
        <v>35</v>
      </c>
      <c r="M25" s="159" t="s">
        <v>35</v>
      </c>
      <c r="N25" s="159" t="s">
        <v>35</v>
      </c>
      <c r="O25" s="159" t="s">
        <v>35</v>
      </c>
      <c r="P25" s="159" t="s">
        <v>35</v>
      </c>
      <c r="Q25" s="159" t="s">
        <v>35</v>
      </c>
      <c r="R25" s="159" t="s">
        <v>35</v>
      </c>
      <c r="S25" s="159" t="s">
        <v>35</v>
      </c>
      <c r="T25" s="159" t="s">
        <v>35</v>
      </c>
      <c r="U25" s="159" t="s">
        <v>35</v>
      </c>
      <c r="V25" s="159" t="s">
        <v>35</v>
      </c>
      <c r="W25" s="159" t="s">
        <v>35</v>
      </c>
      <c r="X25" s="159" t="s">
        <v>35</v>
      </c>
      <c r="Y25" s="159" t="s">
        <v>35</v>
      </c>
      <c r="Z25" s="159" t="s">
        <v>35</v>
      </c>
      <c r="AA25" s="159" t="s">
        <v>35</v>
      </c>
      <c r="AB25" s="159" t="s">
        <v>35</v>
      </c>
      <c r="AC25" s="159" t="s">
        <v>35</v>
      </c>
      <c r="AD25" s="159" t="s">
        <v>35</v>
      </c>
      <c r="AE25" s="159" t="s">
        <v>35</v>
      </c>
      <c r="AF25" s="156" t="s">
        <v>35</v>
      </c>
      <c r="AG25" s="156" t="s">
        <v>35</v>
      </c>
      <c r="AH25" s="156" t="s">
        <v>35</v>
      </c>
      <c r="AI25" s="183" t="s">
        <v>35</v>
      </c>
      <c r="AJ25" s="462" t="s">
        <v>35</v>
      </c>
      <c r="AK25" s="270" t="s">
        <v>12</v>
      </c>
    </row>
    <row r="26" spans="1:37" ht="12.75" customHeight="1" x14ac:dyDescent="0.2">
      <c r="A26" s="15"/>
      <c r="B26" s="17" t="s">
        <v>20</v>
      </c>
      <c r="C26" s="114">
        <v>4.0750000000000002</v>
      </c>
      <c r="D26" s="114">
        <v>5.0439999999999996</v>
      </c>
      <c r="E26" s="114">
        <v>4.8730000000000002</v>
      </c>
      <c r="F26" s="57">
        <v>5.43</v>
      </c>
      <c r="G26" s="57">
        <v>5.5030000000000001</v>
      </c>
      <c r="H26" s="57">
        <v>5.4909999999999997</v>
      </c>
      <c r="I26" s="57">
        <v>5.6210000000000004</v>
      </c>
      <c r="J26" s="57">
        <v>5.2779999999999996</v>
      </c>
      <c r="K26" s="57">
        <v>5.96</v>
      </c>
      <c r="L26" s="57">
        <v>6.04</v>
      </c>
      <c r="M26" s="57">
        <v>6.0430000000000001</v>
      </c>
      <c r="N26" s="57">
        <v>6.008</v>
      </c>
      <c r="O26" s="57">
        <v>5.8689999999999998</v>
      </c>
      <c r="P26" s="57">
        <v>5.827</v>
      </c>
      <c r="Q26" s="57">
        <v>6.0170000000000003</v>
      </c>
      <c r="R26" s="57">
        <v>6.1310000000000002</v>
      </c>
      <c r="S26" s="57">
        <v>6.09</v>
      </c>
      <c r="T26" s="57">
        <v>5.9390000000000001</v>
      </c>
      <c r="U26" s="57">
        <v>5.8280000000000003</v>
      </c>
      <c r="V26" s="57">
        <v>5.5830000000000002</v>
      </c>
      <c r="W26" s="57">
        <v>5.9669999999999996</v>
      </c>
      <c r="X26" s="57">
        <v>5.6219999999999999</v>
      </c>
      <c r="Y26" s="57">
        <v>5.6470000000000002</v>
      </c>
      <c r="Z26" s="57">
        <v>5.5019999999999998</v>
      </c>
      <c r="AA26" s="154">
        <v>5.5720000000000001</v>
      </c>
      <c r="AB26" s="154">
        <v>5.4050000000000002</v>
      </c>
      <c r="AC26" s="154">
        <v>5.8369999999999997</v>
      </c>
      <c r="AD26" s="154">
        <v>6.0439999999999996</v>
      </c>
      <c r="AE26" s="154">
        <v>6.0469999999999997</v>
      </c>
      <c r="AF26" s="154">
        <v>6.1429999999999998</v>
      </c>
      <c r="AG26" s="154">
        <v>5.5350000000000001</v>
      </c>
      <c r="AH26" s="154">
        <f>5840/1000</f>
        <v>5.84</v>
      </c>
      <c r="AI26" s="174">
        <f>5.194</f>
        <v>5.194</v>
      </c>
      <c r="AJ26" s="170">
        <f t="shared" si="2"/>
        <v>-11.061643835616437</v>
      </c>
      <c r="AK26" s="175" t="s">
        <v>20</v>
      </c>
    </row>
    <row r="27" spans="1:37" ht="12.75" customHeight="1" x14ac:dyDescent="0.2">
      <c r="A27" s="15"/>
      <c r="B27" s="88" t="s">
        <v>29</v>
      </c>
      <c r="C27" s="150">
        <v>3.62</v>
      </c>
      <c r="D27" s="150">
        <v>7.0540000000000003</v>
      </c>
      <c r="E27" s="150">
        <v>6.37</v>
      </c>
      <c r="F27" s="151">
        <v>6.6539999999999999</v>
      </c>
      <c r="G27" s="151">
        <v>6.7009999999999996</v>
      </c>
      <c r="H27" s="151">
        <v>6.7210000000000001</v>
      </c>
      <c r="I27" s="151">
        <v>6.99</v>
      </c>
      <c r="J27" s="151">
        <v>6.766</v>
      </c>
      <c r="K27" s="151">
        <v>7.0730000000000004</v>
      </c>
      <c r="L27" s="151">
        <v>8.02</v>
      </c>
      <c r="M27" s="151">
        <v>8.1639999999999997</v>
      </c>
      <c r="N27" s="151">
        <v>7.6310000000000002</v>
      </c>
      <c r="O27" s="159">
        <v>7.5629999999999997</v>
      </c>
      <c r="P27" s="159">
        <v>8.0709999999999997</v>
      </c>
      <c r="Q27" s="159">
        <v>7.9610000000000003</v>
      </c>
      <c r="R27" s="159">
        <v>7.7629999999999999</v>
      </c>
      <c r="S27" s="151">
        <v>7.5709999999999997</v>
      </c>
      <c r="T27" s="151">
        <v>7.78</v>
      </c>
      <c r="U27" s="151">
        <v>7.6390000000000002</v>
      </c>
      <c r="V27" s="151">
        <v>7.226</v>
      </c>
      <c r="W27" s="151">
        <v>7.5209999999999999</v>
      </c>
      <c r="X27" s="151">
        <v>7.3040000000000003</v>
      </c>
      <c r="Y27" s="151">
        <v>7</v>
      </c>
      <c r="Z27" s="151">
        <v>7.2279999999999998</v>
      </c>
      <c r="AA27" s="156">
        <v>7.1459999999999999</v>
      </c>
      <c r="AB27" s="156">
        <v>8.3919999999999995</v>
      </c>
      <c r="AC27" s="156">
        <v>8.2590000000000003</v>
      </c>
      <c r="AD27" s="156">
        <v>8.4749999999999996</v>
      </c>
      <c r="AE27" s="156">
        <v>8.4730000000000008</v>
      </c>
      <c r="AF27" s="156">
        <v>8.3960000000000008</v>
      </c>
      <c r="AG27" s="156">
        <v>8.577</v>
      </c>
      <c r="AH27" s="156">
        <f>8567/1000</f>
        <v>8.5670000000000002</v>
      </c>
      <c r="AI27" s="183">
        <f>7.715</f>
        <v>7.7149999999999999</v>
      </c>
      <c r="AJ27" s="169">
        <f t="shared" si="2"/>
        <v>-9.9451383214660893</v>
      </c>
      <c r="AK27" s="339" t="s">
        <v>29</v>
      </c>
    </row>
    <row r="28" spans="1:37" ht="12.75" customHeight="1" x14ac:dyDescent="0.2">
      <c r="A28" s="15"/>
      <c r="B28" s="187" t="s">
        <v>13</v>
      </c>
      <c r="C28" s="188">
        <v>6.98</v>
      </c>
      <c r="D28" s="188">
        <v>17.12</v>
      </c>
      <c r="E28" s="189">
        <v>13.887</v>
      </c>
      <c r="F28" s="189">
        <v>10.39</v>
      </c>
      <c r="G28" s="189">
        <v>11.93</v>
      </c>
      <c r="H28" s="189">
        <v>12.2</v>
      </c>
      <c r="I28" s="189">
        <v>14.3</v>
      </c>
      <c r="J28" s="189">
        <v>13.493</v>
      </c>
      <c r="K28" s="189">
        <v>15.33</v>
      </c>
      <c r="L28" s="189">
        <v>14.97</v>
      </c>
      <c r="M28" s="189">
        <v>18.448</v>
      </c>
      <c r="N28" s="189">
        <v>19.417000000000002</v>
      </c>
      <c r="O28" s="189">
        <v>20.353999999999999</v>
      </c>
      <c r="P28" s="189">
        <v>21.092700000000001</v>
      </c>
      <c r="Q28" s="189">
        <v>20.853999999999999</v>
      </c>
      <c r="R28" s="189">
        <v>23.870999999999999</v>
      </c>
      <c r="S28" s="189">
        <v>24.806000000000001</v>
      </c>
      <c r="T28" s="189">
        <v>25.388000000000002</v>
      </c>
      <c r="U28" s="189">
        <v>25.588099999999997</v>
      </c>
      <c r="V28" s="189">
        <v>23.513000000000002</v>
      </c>
      <c r="W28" s="189">
        <v>21.247299999999999</v>
      </c>
      <c r="X28" s="189">
        <v>22.908000000000001</v>
      </c>
      <c r="Y28" s="189">
        <v>24.157</v>
      </c>
      <c r="Z28" s="189">
        <v>23.460999999999999</v>
      </c>
      <c r="AA28" s="189">
        <v>22.324999999999999</v>
      </c>
      <c r="AB28" s="189">
        <v>20.111999999999998</v>
      </c>
      <c r="AC28" s="189">
        <v>20.542999999999999</v>
      </c>
      <c r="AD28" s="189">
        <v>21.843</v>
      </c>
      <c r="AE28" s="189">
        <v>22.204000000000001</v>
      </c>
      <c r="AF28" s="189">
        <v>21.08</v>
      </c>
      <c r="AG28" s="189">
        <v>21.314</v>
      </c>
      <c r="AH28" s="189">
        <f>19394/1000</f>
        <v>19.393999999999998</v>
      </c>
      <c r="AI28" s="219">
        <f>20.436</f>
        <v>20.436</v>
      </c>
      <c r="AJ28" s="485">
        <f t="shared" si="2"/>
        <v>5.3727957100134063</v>
      </c>
      <c r="AK28" s="438" t="s">
        <v>13</v>
      </c>
    </row>
    <row r="29" spans="1:37" ht="12.75" customHeight="1" x14ac:dyDescent="0.2">
      <c r="A29" s="15"/>
      <c r="B29" s="88" t="s">
        <v>30</v>
      </c>
      <c r="C29" s="155" t="s">
        <v>35</v>
      </c>
      <c r="D29" s="155" t="s">
        <v>35</v>
      </c>
      <c r="E29" s="155"/>
      <c r="F29" s="156" t="s">
        <v>35</v>
      </c>
      <c r="G29" s="156" t="s">
        <v>35</v>
      </c>
      <c r="H29" s="156" t="s">
        <v>35</v>
      </c>
      <c r="I29" s="156" t="s">
        <v>35</v>
      </c>
      <c r="J29" s="156" t="s">
        <v>35</v>
      </c>
      <c r="K29" s="156" t="s">
        <v>35</v>
      </c>
      <c r="L29" s="156" t="s">
        <v>35</v>
      </c>
      <c r="M29" s="156" t="s">
        <v>35</v>
      </c>
      <c r="N29" s="156" t="s">
        <v>35</v>
      </c>
      <c r="O29" s="156">
        <v>0.5</v>
      </c>
      <c r="P29" s="156">
        <v>0.5</v>
      </c>
      <c r="Q29" s="156">
        <v>0.5</v>
      </c>
      <c r="R29" s="156">
        <v>0.5</v>
      </c>
      <c r="S29" s="156">
        <v>0.50396059999999998</v>
      </c>
      <c r="T29" s="156">
        <v>0.48450380000000004</v>
      </c>
      <c r="U29" s="156">
        <v>0.4535498</v>
      </c>
      <c r="V29" s="156">
        <v>0.477576</v>
      </c>
      <c r="W29" s="156">
        <v>0.44971740000000004</v>
      </c>
      <c r="X29" s="156">
        <v>0.41286740000000005</v>
      </c>
      <c r="Y29" s="156">
        <v>0.3826504</v>
      </c>
      <c r="Z29" s="156">
        <v>0.36348840000000004</v>
      </c>
      <c r="AA29" s="156">
        <v>0.35950860000000001</v>
      </c>
      <c r="AB29" s="156">
        <v>0.35007500000000003</v>
      </c>
      <c r="AC29" s="156">
        <f>2.517*0.1474</f>
        <v>0.3710058</v>
      </c>
      <c r="AD29" s="156">
        <f>2.651*0.1474</f>
        <v>0.39075739999999998</v>
      </c>
      <c r="AE29" s="156">
        <f>2.657*0.1474</f>
        <v>0.39164180000000004</v>
      </c>
      <c r="AF29" s="156">
        <v>0.41599999999999998</v>
      </c>
      <c r="AG29" s="156">
        <v>0.44033899999999998</v>
      </c>
      <c r="AH29" s="156">
        <f>452.59/1000</f>
        <v>0.45258999999999999</v>
      </c>
      <c r="AI29" s="183">
        <f>0.309</f>
        <v>0.309</v>
      </c>
      <c r="AJ29" s="169">
        <f t="shared" si="2"/>
        <v>-31.726286484456139</v>
      </c>
      <c r="AK29" s="339" t="s">
        <v>30</v>
      </c>
    </row>
    <row r="30" spans="1:37" ht="12.75" customHeight="1" x14ac:dyDescent="0.2">
      <c r="A30" s="15"/>
      <c r="B30" s="187" t="s">
        <v>14</v>
      </c>
      <c r="C30" s="188">
        <v>1.84</v>
      </c>
      <c r="D30" s="188">
        <v>5.19</v>
      </c>
      <c r="E30" s="189">
        <v>5.0620000000000003</v>
      </c>
      <c r="F30" s="189">
        <v>3.18</v>
      </c>
      <c r="G30" s="189">
        <v>2.5579999999999998</v>
      </c>
      <c r="H30" s="189">
        <v>2.4710000000000001</v>
      </c>
      <c r="I30" s="189">
        <v>2.8010000000000002</v>
      </c>
      <c r="J30" s="189">
        <v>2.9359999999999999</v>
      </c>
      <c r="K30" s="189">
        <v>2.6619999999999999</v>
      </c>
      <c r="L30" s="189">
        <v>2.2959999999999998</v>
      </c>
      <c r="M30" s="189">
        <v>2.258</v>
      </c>
      <c r="N30" s="189">
        <v>1.6359999999999999</v>
      </c>
      <c r="O30" s="189">
        <v>1.3919999999999999</v>
      </c>
      <c r="P30" s="189">
        <v>1.77</v>
      </c>
      <c r="Q30" s="189">
        <v>1.78</v>
      </c>
      <c r="R30" s="189">
        <v>1.59</v>
      </c>
      <c r="S30" s="189">
        <v>1.8979999999999999</v>
      </c>
      <c r="T30" s="189">
        <v>2.21</v>
      </c>
      <c r="U30" s="189">
        <v>2.0270000000000001</v>
      </c>
      <c r="V30" s="189">
        <v>1.849</v>
      </c>
      <c r="W30" s="189">
        <v>1.72</v>
      </c>
      <c r="X30" s="189">
        <v>1.2430000000000001</v>
      </c>
      <c r="Y30" s="189">
        <v>0.996</v>
      </c>
      <c r="Z30" s="192">
        <v>0.879</v>
      </c>
      <c r="AA30" s="192">
        <v>0.78500000000000003</v>
      </c>
      <c r="AB30" s="192">
        <v>0.82899999999999996</v>
      </c>
      <c r="AC30" s="192">
        <v>0.98399999999999999</v>
      </c>
      <c r="AD30" s="192">
        <v>1.0289999999999999</v>
      </c>
      <c r="AE30" s="192">
        <v>1.131</v>
      </c>
      <c r="AF30" s="192">
        <v>1.087</v>
      </c>
      <c r="AG30" s="192">
        <v>1.08</v>
      </c>
      <c r="AH30" s="192">
        <f>1168/1000</f>
        <v>1.1679999999999999</v>
      </c>
      <c r="AI30" s="220">
        <f>1.07</f>
        <v>1.07</v>
      </c>
      <c r="AJ30" s="485">
        <f t="shared" si="2"/>
        <v>-8.3904109589040985</v>
      </c>
      <c r="AK30" s="438" t="s">
        <v>14</v>
      </c>
    </row>
    <row r="31" spans="1:37" ht="12.75" customHeight="1" x14ac:dyDescent="0.2">
      <c r="A31" s="15"/>
      <c r="B31" s="56" t="s">
        <v>16</v>
      </c>
      <c r="C31" s="158" t="s">
        <v>35</v>
      </c>
      <c r="D31" s="158" t="s">
        <v>35</v>
      </c>
      <c r="E31" s="158" t="s">
        <v>35</v>
      </c>
      <c r="F31" s="159" t="s">
        <v>35</v>
      </c>
      <c r="G31" s="159" t="s">
        <v>35</v>
      </c>
      <c r="H31" s="159" t="s">
        <v>35</v>
      </c>
      <c r="I31" s="159" t="s">
        <v>35</v>
      </c>
      <c r="J31" s="159" t="s">
        <v>35</v>
      </c>
      <c r="K31" s="159" t="s">
        <v>35</v>
      </c>
      <c r="L31" s="159" t="s">
        <v>35</v>
      </c>
      <c r="M31" s="159" t="s">
        <v>35</v>
      </c>
      <c r="N31" s="159" t="s">
        <v>35</v>
      </c>
      <c r="O31" s="159" t="s">
        <v>35</v>
      </c>
      <c r="P31" s="159" t="s">
        <v>35</v>
      </c>
      <c r="Q31" s="159" t="s">
        <v>35</v>
      </c>
      <c r="R31" s="159" t="s">
        <v>35</v>
      </c>
      <c r="S31" s="159" t="s">
        <v>35</v>
      </c>
      <c r="T31" s="159" t="s">
        <v>35</v>
      </c>
      <c r="U31" s="159" t="s">
        <v>35</v>
      </c>
      <c r="V31" s="159" t="s">
        <v>35</v>
      </c>
      <c r="W31" s="159" t="s">
        <v>35</v>
      </c>
      <c r="X31" s="159" t="s">
        <v>35</v>
      </c>
      <c r="Y31" s="159" t="s">
        <v>35</v>
      </c>
      <c r="Z31" s="159" t="s">
        <v>35</v>
      </c>
      <c r="AA31" s="159" t="s">
        <v>35</v>
      </c>
      <c r="AB31" s="159" t="s">
        <v>35</v>
      </c>
      <c r="AC31" s="159" t="s">
        <v>35</v>
      </c>
      <c r="AD31" s="159" t="s">
        <v>35</v>
      </c>
      <c r="AE31" s="159" t="s">
        <v>35</v>
      </c>
      <c r="AF31" s="156" t="s">
        <v>35</v>
      </c>
      <c r="AG31" s="156" t="s">
        <v>35</v>
      </c>
      <c r="AH31" s="156" t="s">
        <v>35</v>
      </c>
      <c r="AI31" s="183" t="s">
        <v>35</v>
      </c>
      <c r="AJ31" s="462" t="s">
        <v>35</v>
      </c>
      <c r="AK31" s="270" t="s">
        <v>16</v>
      </c>
    </row>
    <row r="32" spans="1:37" ht="12.75" customHeight="1" x14ac:dyDescent="0.2">
      <c r="A32" s="15"/>
      <c r="B32" s="187" t="s">
        <v>15</v>
      </c>
      <c r="C32" s="188"/>
      <c r="D32" s="188"/>
      <c r="E32" s="189"/>
      <c r="F32" s="189"/>
      <c r="G32" s="189"/>
      <c r="H32" s="189">
        <v>5.4</v>
      </c>
      <c r="I32" s="189">
        <v>6.2</v>
      </c>
      <c r="J32" s="201">
        <v>6.1</v>
      </c>
      <c r="K32" s="201">
        <v>5.8</v>
      </c>
      <c r="L32" s="201">
        <v>5.5</v>
      </c>
      <c r="M32" s="201">
        <v>5.6</v>
      </c>
      <c r="N32" s="201">
        <v>5.2</v>
      </c>
      <c r="O32" s="201">
        <v>4.5999999999999996</v>
      </c>
      <c r="P32" s="201">
        <v>4.8</v>
      </c>
      <c r="Q32" s="201">
        <v>4.7</v>
      </c>
      <c r="R32" s="201">
        <v>5</v>
      </c>
      <c r="S32" s="201">
        <v>5.2</v>
      </c>
      <c r="T32" s="201">
        <v>5.3</v>
      </c>
      <c r="U32" s="201">
        <v>5.6</v>
      </c>
      <c r="V32" s="201">
        <v>5.3</v>
      </c>
      <c r="W32" s="201">
        <v>5.3</v>
      </c>
      <c r="X32" s="201">
        <v>5.35</v>
      </c>
      <c r="Y32" s="201">
        <v>5.0374999999999996</v>
      </c>
      <c r="Z32" s="201">
        <v>4.96</v>
      </c>
      <c r="AA32" s="201">
        <v>4.2089999999999996</v>
      </c>
      <c r="AB32" s="201">
        <f>4.894</f>
        <v>4.8940000000000001</v>
      </c>
      <c r="AC32" s="201">
        <v>4.4725000000000001</v>
      </c>
      <c r="AD32" s="201">
        <v>4.9660000000000002</v>
      </c>
      <c r="AE32" s="201">
        <v>4.5854999999999997</v>
      </c>
      <c r="AF32" s="201">
        <v>4.7910000000000004</v>
      </c>
      <c r="AG32" s="201">
        <v>4.79</v>
      </c>
      <c r="AH32" s="201">
        <f>4.55</f>
        <v>4.55</v>
      </c>
      <c r="AI32" s="222">
        <v>4.3774059999999997</v>
      </c>
      <c r="AJ32" s="485">
        <f t="shared" si="2"/>
        <v>-3.7932747252747276</v>
      </c>
      <c r="AK32" s="438" t="s">
        <v>15</v>
      </c>
    </row>
    <row r="33" spans="1:37" ht="12.75" customHeight="1" x14ac:dyDescent="0.2">
      <c r="A33" s="15"/>
      <c r="B33" s="88" t="s">
        <v>31</v>
      </c>
      <c r="C33" s="155" t="s">
        <v>35</v>
      </c>
      <c r="D33" s="155" t="s">
        <v>35</v>
      </c>
      <c r="E33" s="155" t="s">
        <v>35</v>
      </c>
      <c r="F33" s="156" t="s">
        <v>35</v>
      </c>
      <c r="G33" s="156" t="s">
        <v>35</v>
      </c>
      <c r="H33" s="156" t="s">
        <v>35</v>
      </c>
      <c r="I33" s="156" t="s">
        <v>35</v>
      </c>
      <c r="J33" s="156" t="s">
        <v>35</v>
      </c>
      <c r="K33" s="156" t="s">
        <v>35</v>
      </c>
      <c r="L33" s="156" t="s">
        <v>35</v>
      </c>
      <c r="M33" s="156" t="s">
        <v>35</v>
      </c>
      <c r="N33" s="156" t="s">
        <v>35</v>
      </c>
      <c r="O33" s="156" t="s">
        <v>35</v>
      </c>
      <c r="P33" s="156" t="s">
        <v>35</v>
      </c>
      <c r="Q33" s="156" t="s">
        <v>35</v>
      </c>
      <c r="R33" s="156" t="s">
        <v>35</v>
      </c>
      <c r="S33" s="156" t="s">
        <v>35</v>
      </c>
      <c r="T33" s="156" t="s">
        <v>35</v>
      </c>
      <c r="U33" s="156" t="s">
        <v>35</v>
      </c>
      <c r="V33" s="156" t="s">
        <v>35</v>
      </c>
      <c r="W33" s="156" t="s">
        <v>35</v>
      </c>
      <c r="X33" s="156" t="s">
        <v>35</v>
      </c>
      <c r="Y33" s="156" t="s">
        <v>35</v>
      </c>
      <c r="Z33" s="156" t="s">
        <v>35</v>
      </c>
      <c r="AA33" s="156" t="s">
        <v>35</v>
      </c>
      <c r="AB33" s="156" t="s">
        <v>35</v>
      </c>
      <c r="AC33" s="156" t="s">
        <v>35</v>
      </c>
      <c r="AD33" s="156" t="s">
        <v>35</v>
      </c>
      <c r="AE33" s="156" t="s">
        <v>35</v>
      </c>
      <c r="AF33" s="156" t="s">
        <v>35</v>
      </c>
      <c r="AG33" s="156" t="s">
        <v>35</v>
      </c>
      <c r="AH33" s="156" t="s">
        <v>35</v>
      </c>
      <c r="AI33" s="183" t="s">
        <v>35</v>
      </c>
      <c r="AJ33" s="462" t="s">
        <v>35</v>
      </c>
      <c r="AK33" s="339" t="s">
        <v>31</v>
      </c>
    </row>
    <row r="34" spans="1:37" ht="12.75" customHeight="1" x14ac:dyDescent="0.2">
      <c r="A34" s="15"/>
      <c r="B34" s="321" t="s">
        <v>32</v>
      </c>
      <c r="C34" s="322" t="s">
        <v>35</v>
      </c>
      <c r="D34" s="322" t="s">
        <v>35</v>
      </c>
      <c r="E34" s="323" t="s">
        <v>35</v>
      </c>
      <c r="F34" s="323" t="s">
        <v>35</v>
      </c>
      <c r="G34" s="323" t="s">
        <v>35</v>
      </c>
      <c r="H34" s="323" t="s">
        <v>35</v>
      </c>
      <c r="I34" s="323" t="s">
        <v>35</v>
      </c>
      <c r="J34" s="323" t="s">
        <v>35</v>
      </c>
      <c r="K34" s="323" t="s">
        <v>35</v>
      </c>
      <c r="L34" s="323" t="s">
        <v>35</v>
      </c>
      <c r="M34" s="323" t="s">
        <v>35</v>
      </c>
      <c r="N34" s="323" t="s">
        <v>35</v>
      </c>
      <c r="O34" s="323" t="s">
        <v>35</v>
      </c>
      <c r="P34" s="323" t="s">
        <v>35</v>
      </c>
      <c r="Q34" s="323" t="s">
        <v>35</v>
      </c>
      <c r="R34" s="323" t="s">
        <v>35</v>
      </c>
      <c r="S34" s="323" t="s">
        <v>35</v>
      </c>
      <c r="T34" s="323" t="s">
        <v>35</v>
      </c>
      <c r="U34" s="323" t="s">
        <v>35</v>
      </c>
      <c r="V34" s="323" t="s">
        <v>35</v>
      </c>
      <c r="W34" s="323" t="s">
        <v>35</v>
      </c>
      <c r="X34" s="323" t="s">
        <v>35</v>
      </c>
      <c r="Y34" s="323" t="s">
        <v>35</v>
      </c>
      <c r="Z34" s="323" t="s">
        <v>35</v>
      </c>
      <c r="AA34" s="324" t="s">
        <v>35</v>
      </c>
      <c r="AB34" s="324" t="s">
        <v>35</v>
      </c>
      <c r="AC34" s="324" t="s">
        <v>35</v>
      </c>
      <c r="AD34" s="324" t="s">
        <v>35</v>
      </c>
      <c r="AE34" s="324" t="s">
        <v>35</v>
      </c>
      <c r="AF34" s="327" t="s">
        <v>35</v>
      </c>
      <c r="AG34" s="327" t="s">
        <v>35</v>
      </c>
      <c r="AH34" s="221" t="s">
        <v>35</v>
      </c>
      <c r="AI34" s="515" t="s">
        <v>35</v>
      </c>
      <c r="AJ34" s="516" t="s">
        <v>35</v>
      </c>
      <c r="AK34" s="517" t="s">
        <v>32</v>
      </c>
    </row>
    <row r="35" spans="1:37" ht="12.75" customHeight="1" x14ac:dyDescent="0.2">
      <c r="A35" s="15"/>
      <c r="B35" s="193" t="s">
        <v>3</v>
      </c>
      <c r="C35" s="223" t="s">
        <v>35</v>
      </c>
      <c r="D35" s="223" t="s">
        <v>35</v>
      </c>
      <c r="E35" s="210" t="s">
        <v>35</v>
      </c>
      <c r="F35" s="210" t="s">
        <v>35</v>
      </c>
      <c r="G35" s="210" t="s">
        <v>35</v>
      </c>
      <c r="H35" s="210" t="s">
        <v>35</v>
      </c>
      <c r="I35" s="210" t="s">
        <v>35</v>
      </c>
      <c r="J35" s="210" t="s">
        <v>35</v>
      </c>
      <c r="K35" s="210" t="s">
        <v>35</v>
      </c>
      <c r="L35" s="210" t="s">
        <v>35</v>
      </c>
      <c r="M35" s="210" t="s">
        <v>35</v>
      </c>
      <c r="N35" s="210" t="s">
        <v>35</v>
      </c>
      <c r="O35" s="210" t="s">
        <v>35</v>
      </c>
      <c r="P35" s="210" t="s">
        <v>35</v>
      </c>
      <c r="Q35" s="210" t="s">
        <v>35</v>
      </c>
      <c r="R35" s="210" t="s">
        <v>35</v>
      </c>
      <c r="S35" s="210" t="s">
        <v>35</v>
      </c>
      <c r="T35" s="210" t="s">
        <v>35</v>
      </c>
      <c r="U35" s="210" t="s">
        <v>35</v>
      </c>
      <c r="V35" s="210" t="s">
        <v>35</v>
      </c>
      <c r="W35" s="210" t="s">
        <v>35</v>
      </c>
      <c r="X35" s="210" t="s">
        <v>35</v>
      </c>
      <c r="Y35" s="210" t="s">
        <v>35</v>
      </c>
      <c r="Z35" s="210" t="s">
        <v>35</v>
      </c>
      <c r="AA35" s="211" t="s">
        <v>35</v>
      </c>
      <c r="AB35" s="197" t="s">
        <v>35</v>
      </c>
      <c r="AC35" s="197" t="s">
        <v>35</v>
      </c>
      <c r="AD35" s="197" t="s">
        <v>35</v>
      </c>
      <c r="AE35" s="197" t="s">
        <v>35</v>
      </c>
      <c r="AF35" s="197" t="s">
        <v>35</v>
      </c>
      <c r="AG35" s="197" t="s">
        <v>35</v>
      </c>
      <c r="AH35" s="156" t="s">
        <v>35</v>
      </c>
      <c r="AI35" s="183" t="s">
        <v>35</v>
      </c>
      <c r="AJ35" s="462" t="s">
        <v>35</v>
      </c>
      <c r="AK35" s="422" t="s">
        <v>3</v>
      </c>
    </row>
    <row r="36" spans="1:37" ht="12.75" customHeight="1" x14ac:dyDescent="0.2">
      <c r="A36" s="15"/>
      <c r="B36" s="17" t="s">
        <v>33</v>
      </c>
      <c r="C36" s="95" t="s">
        <v>35</v>
      </c>
      <c r="D36" s="95" t="s">
        <v>35</v>
      </c>
      <c r="E36" s="57">
        <v>2.0550000000000002</v>
      </c>
      <c r="F36" s="57">
        <v>2.5049999999999999</v>
      </c>
      <c r="G36" s="57">
        <v>3.0710000000000002</v>
      </c>
      <c r="H36" s="57">
        <v>3.39</v>
      </c>
      <c r="I36" s="57">
        <v>4.0490000000000004</v>
      </c>
      <c r="J36" s="57">
        <v>5.2610000000000001</v>
      </c>
      <c r="K36" s="57">
        <v>5.1260000000000003</v>
      </c>
      <c r="L36" s="57">
        <v>4.16</v>
      </c>
      <c r="M36" s="57">
        <v>4.1360000000000001</v>
      </c>
      <c r="N36" s="57">
        <v>3.9809999999999999</v>
      </c>
      <c r="O36" s="57">
        <v>3.4849999999999999</v>
      </c>
      <c r="P36" s="57">
        <v>3.681</v>
      </c>
      <c r="Q36" s="57">
        <v>3.601</v>
      </c>
      <c r="R36" s="57">
        <v>3.4940000000000002</v>
      </c>
      <c r="S36" s="57">
        <v>4.7210000000000001</v>
      </c>
      <c r="T36" s="57">
        <v>4.59</v>
      </c>
      <c r="U36" s="57">
        <v>4.5289999999999999</v>
      </c>
      <c r="V36" s="57">
        <v>4.1920000000000002</v>
      </c>
      <c r="W36" s="57">
        <v>3.827</v>
      </c>
      <c r="X36" s="57">
        <v>3.8540000000000001</v>
      </c>
      <c r="Y36" s="57">
        <v>3.4649999999999999</v>
      </c>
      <c r="Z36" s="57">
        <v>3.3719999999999999</v>
      </c>
      <c r="AA36" s="154">
        <v>3.1150000000000002</v>
      </c>
      <c r="AB36" s="154">
        <v>2.7240000000000002</v>
      </c>
      <c r="AC36" s="154">
        <v>2.8450000000000002</v>
      </c>
      <c r="AD36" s="154">
        <v>3.3769999999999998</v>
      </c>
      <c r="AE36" s="154">
        <v>3.8130000000000002</v>
      </c>
      <c r="AF36" s="154">
        <f>4768/1000</f>
        <v>4.7679999999999998</v>
      </c>
      <c r="AG36" s="154">
        <f>4518/1000</f>
        <v>4.5179999999999998</v>
      </c>
      <c r="AH36" s="154">
        <f>5185/1000</f>
        <v>5.1849999999999996</v>
      </c>
      <c r="AI36" s="154">
        <f>9.383</f>
        <v>9.3829999999999991</v>
      </c>
      <c r="AJ36" s="175">
        <f>AI36/AH36*100-100</f>
        <v>80.964320154291215</v>
      </c>
      <c r="AK36" s="175" t="s">
        <v>33</v>
      </c>
    </row>
    <row r="37" spans="1:37" ht="12.75" customHeight="1" x14ac:dyDescent="0.2">
      <c r="A37" s="15"/>
      <c r="B37" s="215" t="s">
        <v>4</v>
      </c>
      <c r="C37" s="216">
        <v>1.2</v>
      </c>
      <c r="D37" s="216">
        <v>1.1000000000000001</v>
      </c>
      <c r="E37" s="224">
        <v>1.2</v>
      </c>
      <c r="F37" s="198">
        <v>1.2270000000000001</v>
      </c>
      <c r="G37" s="198">
        <v>1.2649999999999999</v>
      </c>
      <c r="H37" s="198">
        <v>1.2210000000000001</v>
      </c>
      <c r="I37" s="198">
        <v>1.2110000000000001</v>
      </c>
      <c r="J37" s="225">
        <v>1.248</v>
      </c>
      <c r="K37" s="198">
        <v>1.202</v>
      </c>
      <c r="L37" s="198">
        <v>0.28899999999999998</v>
      </c>
      <c r="M37" s="198">
        <v>0.23400000000000001</v>
      </c>
      <c r="N37" s="198">
        <v>0.23300000000000001</v>
      </c>
      <c r="O37" s="198">
        <v>0.216</v>
      </c>
      <c r="P37" s="198">
        <v>0.23</v>
      </c>
      <c r="Q37" s="198">
        <v>0.22600000000000001</v>
      </c>
      <c r="R37" s="198">
        <v>0.222</v>
      </c>
      <c r="S37" s="198">
        <v>0.23799999999999999</v>
      </c>
      <c r="T37" s="198">
        <v>0.22600000000000001</v>
      </c>
      <c r="U37" s="198">
        <v>0.25600000000000001</v>
      </c>
      <c r="V37" s="198">
        <v>0.217</v>
      </c>
      <c r="W37" s="198">
        <v>0.248</v>
      </c>
      <c r="X37" s="198">
        <v>0.23300000000000001</v>
      </c>
      <c r="Y37" s="198">
        <v>0.218</v>
      </c>
      <c r="Z37" s="198">
        <v>0.20300000000000001</v>
      </c>
      <c r="AA37" s="198">
        <v>0.183</v>
      </c>
      <c r="AB37" s="198">
        <v>0.22800000000000001</v>
      </c>
      <c r="AC37" s="198">
        <v>0.23400000000000001</v>
      </c>
      <c r="AD37" s="297">
        <v>0.113</v>
      </c>
      <c r="AE37" s="271">
        <v>0.109</v>
      </c>
      <c r="AF37" s="271">
        <v>0.107</v>
      </c>
      <c r="AG37" s="271">
        <v>0.112</v>
      </c>
      <c r="AH37" s="271">
        <f>105/1000</f>
        <v>0.105</v>
      </c>
      <c r="AI37" s="254">
        <f>0.1</f>
        <v>0.1</v>
      </c>
      <c r="AJ37" s="341">
        <f>AI37/AH37*100-100</f>
        <v>-4.7619047619047592</v>
      </c>
      <c r="AK37" s="341" t="s">
        <v>4</v>
      </c>
    </row>
    <row r="38" spans="1:37" ht="12.75" customHeight="1" x14ac:dyDescent="0.2">
      <c r="A38" s="15"/>
      <c r="B38" s="17" t="s">
        <v>96</v>
      </c>
      <c r="C38" s="429" t="s">
        <v>35</v>
      </c>
      <c r="D38" s="429" t="s">
        <v>35</v>
      </c>
      <c r="E38" s="154" t="s">
        <v>35</v>
      </c>
      <c r="F38" s="154" t="s">
        <v>35</v>
      </c>
      <c r="G38" s="154" t="s">
        <v>35</v>
      </c>
      <c r="H38" s="154" t="s">
        <v>35</v>
      </c>
      <c r="I38" s="154" t="s">
        <v>35</v>
      </c>
      <c r="J38" s="154" t="s">
        <v>35</v>
      </c>
      <c r="K38" s="57" t="s">
        <v>35</v>
      </c>
      <c r="L38" s="57" t="s">
        <v>35</v>
      </c>
      <c r="M38" s="57" t="s">
        <v>35</v>
      </c>
      <c r="N38" s="57" t="s">
        <v>35</v>
      </c>
      <c r="O38" s="154" t="s">
        <v>35</v>
      </c>
      <c r="P38" s="154" t="s">
        <v>35</v>
      </c>
      <c r="Q38" s="154" t="s">
        <v>35</v>
      </c>
      <c r="R38" s="154" t="s">
        <v>35</v>
      </c>
      <c r="S38" s="154" t="s">
        <v>35</v>
      </c>
      <c r="T38" s="154" t="s">
        <v>35</v>
      </c>
      <c r="U38" s="154" t="s">
        <v>35</v>
      </c>
      <c r="V38" s="154" t="s">
        <v>35</v>
      </c>
      <c r="W38" s="154" t="s">
        <v>35</v>
      </c>
      <c r="X38" s="154" t="s">
        <v>35</v>
      </c>
      <c r="Y38" s="154" t="s">
        <v>35</v>
      </c>
      <c r="Z38" s="154" t="s">
        <v>35</v>
      </c>
      <c r="AA38" s="154" t="s">
        <v>35</v>
      </c>
      <c r="AB38" s="154" t="s">
        <v>35</v>
      </c>
      <c r="AC38" s="154" t="s">
        <v>35</v>
      </c>
      <c r="AD38" s="154" t="s">
        <v>35</v>
      </c>
      <c r="AE38" s="154" t="s">
        <v>35</v>
      </c>
      <c r="AF38" s="154" t="s">
        <v>35</v>
      </c>
      <c r="AG38" s="154" t="s">
        <v>35</v>
      </c>
      <c r="AH38" s="154" t="s">
        <v>35</v>
      </c>
      <c r="AI38" s="488" t="s">
        <v>35</v>
      </c>
      <c r="AJ38" s="518" t="s">
        <v>35</v>
      </c>
      <c r="AK38" s="170" t="s">
        <v>96</v>
      </c>
    </row>
    <row r="39" spans="1:37" ht="12.75" customHeight="1" x14ac:dyDescent="0.2">
      <c r="A39" s="15"/>
      <c r="B39" s="193" t="s">
        <v>2</v>
      </c>
      <c r="C39" s="194" t="s">
        <v>35</v>
      </c>
      <c r="D39" s="194" t="s">
        <v>35</v>
      </c>
      <c r="E39" s="195" t="s">
        <v>35</v>
      </c>
      <c r="F39" s="195" t="s">
        <v>35</v>
      </c>
      <c r="G39" s="195" t="s">
        <v>35</v>
      </c>
      <c r="H39" s="195" t="s">
        <v>35</v>
      </c>
      <c r="I39" s="195" t="s">
        <v>35</v>
      </c>
      <c r="J39" s="195" t="s">
        <v>35</v>
      </c>
      <c r="K39" s="195" t="s">
        <v>35</v>
      </c>
      <c r="L39" s="195" t="s">
        <v>35</v>
      </c>
      <c r="M39" s="195" t="s">
        <v>35</v>
      </c>
      <c r="N39" s="195" t="s">
        <v>35</v>
      </c>
      <c r="O39" s="195" t="s">
        <v>35</v>
      </c>
      <c r="P39" s="195" t="s">
        <v>35</v>
      </c>
      <c r="Q39" s="195">
        <v>0.04</v>
      </c>
      <c r="R39" s="195">
        <v>0.121</v>
      </c>
      <c r="S39" s="195">
        <v>0.12</v>
      </c>
      <c r="T39" s="195">
        <v>0.14899999999999999</v>
      </c>
      <c r="U39" s="195">
        <v>0.17</v>
      </c>
      <c r="V39" s="195">
        <v>0.16400000000000001</v>
      </c>
      <c r="W39" s="195">
        <v>0.16400000000000001</v>
      </c>
      <c r="X39" s="195">
        <v>0.14399999999999999</v>
      </c>
      <c r="Y39" s="195">
        <v>0.123</v>
      </c>
      <c r="Z39" s="195">
        <v>9.8000000000000004E-2</v>
      </c>
      <c r="AA39" s="197">
        <v>3.6999999999999998E-2</v>
      </c>
      <c r="AB39" s="209" t="s">
        <v>35</v>
      </c>
      <c r="AC39" s="197">
        <v>6.0000000000000001E-3</v>
      </c>
      <c r="AD39" s="197">
        <v>6.0000000000000001E-3</v>
      </c>
      <c r="AE39" s="197">
        <v>0.01</v>
      </c>
      <c r="AF39" s="197">
        <v>1.2999999999999999E-2</v>
      </c>
      <c r="AG39" s="197">
        <v>1.2E-2</v>
      </c>
      <c r="AH39" s="197">
        <f>36/1000</f>
        <v>3.5999999999999997E-2</v>
      </c>
      <c r="AI39" s="218">
        <f>41491/1000000</f>
        <v>4.1491E-2</v>
      </c>
      <c r="AJ39" s="422">
        <f t="shared" si="2"/>
        <v>15.25277777777778</v>
      </c>
      <c r="AK39" s="445" t="s">
        <v>2</v>
      </c>
    </row>
    <row r="40" spans="1:37" ht="12.75" customHeight="1" x14ac:dyDescent="0.2">
      <c r="A40" s="15"/>
      <c r="B40" s="17" t="s">
        <v>100</v>
      </c>
      <c r="C40" s="95" t="s">
        <v>35</v>
      </c>
      <c r="D40" s="95" t="s">
        <v>35</v>
      </c>
      <c r="E40" s="57" t="s">
        <v>35</v>
      </c>
      <c r="F40" s="57" t="s">
        <v>35</v>
      </c>
      <c r="G40" s="57" t="s">
        <v>35</v>
      </c>
      <c r="H40" s="57" t="s">
        <v>35</v>
      </c>
      <c r="I40" s="57" t="s">
        <v>35</v>
      </c>
      <c r="J40" s="57" t="s">
        <v>35</v>
      </c>
      <c r="K40" s="57" t="s">
        <v>35</v>
      </c>
      <c r="L40" s="57" t="s">
        <v>35</v>
      </c>
      <c r="M40" s="57" t="s">
        <v>35</v>
      </c>
      <c r="N40" s="57" t="s">
        <v>35</v>
      </c>
      <c r="O40" s="57" t="s">
        <v>35</v>
      </c>
      <c r="P40" s="57" t="s">
        <v>35</v>
      </c>
      <c r="Q40" s="57" t="s">
        <v>35</v>
      </c>
      <c r="R40" s="57" t="s">
        <v>35</v>
      </c>
      <c r="S40" s="57" t="s">
        <v>35</v>
      </c>
      <c r="T40" s="57" t="s">
        <v>35</v>
      </c>
      <c r="U40" s="57" t="s">
        <v>35</v>
      </c>
      <c r="V40" s="57" t="s">
        <v>35</v>
      </c>
      <c r="W40" s="57" t="s">
        <v>35</v>
      </c>
      <c r="X40" s="57" t="s">
        <v>35</v>
      </c>
      <c r="Y40" s="154" t="s">
        <v>35</v>
      </c>
      <c r="Z40" s="154" t="s">
        <v>35</v>
      </c>
      <c r="AA40" s="154" t="s">
        <v>35</v>
      </c>
      <c r="AB40" s="154" t="s">
        <v>35</v>
      </c>
      <c r="AC40" s="154" t="s">
        <v>35</v>
      </c>
      <c r="AD40" s="154" t="s">
        <v>35</v>
      </c>
      <c r="AE40" s="154" t="s">
        <v>35</v>
      </c>
      <c r="AF40" s="148" t="s">
        <v>35</v>
      </c>
      <c r="AG40" s="148" t="s">
        <v>35</v>
      </c>
      <c r="AH40" s="154" t="s">
        <v>35</v>
      </c>
      <c r="AI40" s="184" t="s">
        <v>35</v>
      </c>
      <c r="AJ40" s="519" t="s">
        <v>35</v>
      </c>
      <c r="AK40" s="170" t="s">
        <v>100</v>
      </c>
    </row>
    <row r="41" spans="1:37" ht="12.75" customHeight="1" x14ac:dyDescent="0.2">
      <c r="A41" s="15"/>
      <c r="B41" s="193" t="s">
        <v>97</v>
      </c>
      <c r="C41" s="194" t="s">
        <v>35</v>
      </c>
      <c r="D41" s="194" t="s">
        <v>35</v>
      </c>
      <c r="E41" s="195" t="s">
        <v>35</v>
      </c>
      <c r="F41" s="195" t="s">
        <v>35</v>
      </c>
      <c r="G41" s="195" t="s">
        <v>35</v>
      </c>
      <c r="H41" s="195" t="s">
        <v>35</v>
      </c>
      <c r="I41" s="195" t="s">
        <v>35</v>
      </c>
      <c r="J41" s="195" t="s">
        <v>35</v>
      </c>
      <c r="K41" s="195" t="s">
        <v>35</v>
      </c>
      <c r="L41" s="195" t="s">
        <v>35</v>
      </c>
      <c r="M41" s="195" t="s">
        <v>35</v>
      </c>
      <c r="N41" s="195" t="s">
        <v>35</v>
      </c>
      <c r="O41" s="195" t="s">
        <v>35</v>
      </c>
      <c r="P41" s="195" t="s">
        <v>35</v>
      </c>
      <c r="Q41" s="195" t="s">
        <v>35</v>
      </c>
      <c r="R41" s="195" t="s">
        <v>35</v>
      </c>
      <c r="S41" s="195" t="s">
        <v>35</v>
      </c>
      <c r="T41" s="195" t="s">
        <v>35</v>
      </c>
      <c r="U41" s="195">
        <v>0.47</v>
      </c>
      <c r="V41" s="195">
        <v>0.45200000000000001</v>
      </c>
      <c r="W41" s="195">
        <v>0.46200000000000002</v>
      </c>
      <c r="X41" s="195">
        <v>0.40200000000000002</v>
      </c>
      <c r="Y41" s="195">
        <v>0.38100000000000001</v>
      </c>
      <c r="Z41" s="195">
        <v>0.311</v>
      </c>
      <c r="AA41" s="195">
        <v>0.29499999999999998</v>
      </c>
      <c r="AB41" s="197">
        <v>0.38100000000000001</v>
      </c>
      <c r="AC41" s="197">
        <v>0.35499999999999998</v>
      </c>
      <c r="AD41" s="197">
        <v>0.40500000000000003</v>
      </c>
      <c r="AE41" s="197">
        <v>0.44700000000000001</v>
      </c>
      <c r="AF41" s="197">
        <v>0.48099999999999998</v>
      </c>
      <c r="AG41" s="197">
        <f>1056/1000</f>
        <v>1.056</v>
      </c>
      <c r="AH41" s="197">
        <f>933/1000</f>
        <v>0.93300000000000005</v>
      </c>
      <c r="AI41" s="218">
        <f>0.496</f>
        <v>0.496</v>
      </c>
      <c r="AJ41" s="422">
        <f t="shared" si="2"/>
        <v>-46.838156484458736</v>
      </c>
      <c r="AK41" s="445" t="s">
        <v>97</v>
      </c>
    </row>
    <row r="42" spans="1:37" ht="12.75" customHeight="1" x14ac:dyDescent="0.2">
      <c r="A42" s="15"/>
      <c r="B42" s="18" t="s">
        <v>17</v>
      </c>
      <c r="C42" s="97">
        <v>1.3</v>
      </c>
      <c r="D42" s="97">
        <v>13.8</v>
      </c>
      <c r="E42" s="58" t="s">
        <v>34</v>
      </c>
      <c r="F42" s="58" t="s">
        <v>0</v>
      </c>
      <c r="G42" s="58">
        <v>3.1</v>
      </c>
      <c r="H42" s="58">
        <v>3.1</v>
      </c>
      <c r="I42" s="58">
        <v>3.1</v>
      </c>
      <c r="J42" s="58">
        <v>3.2</v>
      </c>
      <c r="K42" s="58">
        <v>4</v>
      </c>
      <c r="L42" s="58">
        <v>21</v>
      </c>
      <c r="M42" s="58">
        <v>39.700000000000003</v>
      </c>
      <c r="N42" s="58">
        <v>43.478000000000002</v>
      </c>
      <c r="O42" s="58">
        <v>53.134</v>
      </c>
      <c r="P42" s="58">
        <v>43.518000000000001</v>
      </c>
      <c r="Q42" s="58">
        <v>47.691000000000003</v>
      </c>
      <c r="R42" s="58">
        <v>18.127734</v>
      </c>
      <c r="S42" s="58">
        <v>11.927372999999999</v>
      </c>
      <c r="T42" s="58">
        <v>5.735652</v>
      </c>
      <c r="U42" s="58">
        <v>5.8407600000000004</v>
      </c>
      <c r="V42" s="58">
        <v>12.893485</v>
      </c>
      <c r="W42" s="58">
        <v>36.397748999999997</v>
      </c>
      <c r="X42" s="58">
        <v>45.111153000000002</v>
      </c>
      <c r="Y42" s="58">
        <v>39.636437999999998</v>
      </c>
      <c r="Z42" s="58">
        <v>44.69</v>
      </c>
      <c r="AA42" s="221">
        <f>37268707/1000000</f>
        <v>37.268706999999999</v>
      </c>
      <c r="AB42" s="221">
        <v>26.713999999999999</v>
      </c>
      <c r="AC42" s="221">
        <v>15.331</v>
      </c>
      <c r="AD42" s="221">
        <v>52.514451999999999</v>
      </c>
      <c r="AE42" s="221">
        <v>52.683</v>
      </c>
      <c r="AF42" s="221">
        <v>52.095254000000004</v>
      </c>
      <c r="AG42" s="221">
        <v>38.65</v>
      </c>
      <c r="AH42" s="221">
        <f>54238/1000</f>
        <v>54.238</v>
      </c>
      <c r="AI42" s="272">
        <f>53.99</f>
        <v>53.99</v>
      </c>
      <c r="AJ42" s="470">
        <f t="shared" si="2"/>
        <v>-0.45724399867251009</v>
      </c>
      <c r="AK42" s="348" t="s">
        <v>17</v>
      </c>
    </row>
    <row r="43" spans="1:37" ht="12.75" customHeight="1" x14ac:dyDescent="0.2">
      <c r="A43" s="15"/>
      <c r="B43" s="373" t="s">
        <v>21</v>
      </c>
      <c r="C43" s="358">
        <v>2.665</v>
      </c>
      <c r="D43" s="358">
        <v>10.077999999999999</v>
      </c>
      <c r="E43" s="425">
        <v>11.1</v>
      </c>
      <c r="F43" s="425">
        <v>11.07</v>
      </c>
      <c r="G43" s="425">
        <v>11</v>
      </c>
      <c r="H43" s="425">
        <v>11.6</v>
      </c>
      <c r="I43" s="425">
        <v>12</v>
      </c>
      <c r="J43" s="425">
        <v>11.1</v>
      </c>
      <c r="K43" s="425">
        <v>11.622999999999999</v>
      </c>
      <c r="L43" s="425">
        <v>11.234999999999999</v>
      </c>
      <c r="M43" s="425">
        <v>11.666</v>
      </c>
      <c r="N43" s="425">
        <v>11.637</v>
      </c>
      <c r="O43" s="425">
        <v>11.423999999999999</v>
      </c>
      <c r="P43" s="425">
        <v>11.561999999999999</v>
      </c>
      <c r="Q43" s="425">
        <v>10.935</v>
      </c>
      <c r="R43" s="425">
        <v>10.484</v>
      </c>
      <c r="S43" s="425">
        <v>10.657</v>
      </c>
      <c r="T43" s="425">
        <v>10.78</v>
      </c>
      <c r="U43" s="425">
        <v>10.776999999999999</v>
      </c>
      <c r="V43" s="425">
        <v>10.228999999999999</v>
      </c>
      <c r="W43" s="425">
        <v>10.18</v>
      </c>
      <c r="X43" s="425">
        <v>10.185</v>
      </c>
      <c r="Y43" s="426">
        <v>10.164999999999999</v>
      </c>
      <c r="Z43" s="426">
        <v>10.1</v>
      </c>
      <c r="AA43" s="426">
        <v>9.9139999999999997</v>
      </c>
      <c r="AB43" s="427">
        <v>9.9614106898867565</v>
      </c>
      <c r="AC43" s="427">
        <f t="shared" ref="AC43:AH43" si="3">AVERAGE(Z43:AB43)</f>
        <v>9.9918035632955853</v>
      </c>
      <c r="AD43" s="427">
        <f t="shared" si="3"/>
        <v>9.9557380843941132</v>
      </c>
      <c r="AE43" s="267">
        <f t="shared" si="3"/>
        <v>9.9696507791921523</v>
      </c>
      <c r="AF43" s="267">
        <f t="shared" si="3"/>
        <v>9.9723974756272824</v>
      </c>
      <c r="AG43" s="267">
        <f t="shared" si="3"/>
        <v>9.9659287797378493</v>
      </c>
      <c r="AH43" s="267">
        <f t="shared" si="3"/>
        <v>9.9693256781857613</v>
      </c>
      <c r="AI43" s="487"/>
      <c r="AJ43" s="486"/>
      <c r="AK43" s="439" t="s">
        <v>21</v>
      </c>
    </row>
    <row r="44" spans="1:37" ht="12.75" customHeight="1" x14ac:dyDescent="0.2">
      <c r="A44" s="15"/>
      <c r="B44" s="129" t="s">
        <v>142</v>
      </c>
      <c r="C44" s="63"/>
      <c r="D44" s="63"/>
      <c r="E44" s="63"/>
      <c r="F44" s="63"/>
      <c r="G44" s="63"/>
      <c r="H44" s="63"/>
      <c r="I44" s="63"/>
      <c r="J44" s="63"/>
      <c r="K44" s="63"/>
      <c r="L44" s="63"/>
      <c r="M44" s="63"/>
      <c r="N44" s="63"/>
      <c r="O44" s="63"/>
      <c r="P44" s="63"/>
      <c r="Q44" s="63"/>
      <c r="R44" s="63"/>
      <c r="S44" s="63"/>
    </row>
    <row r="45" spans="1:37" ht="14.25" customHeight="1" x14ac:dyDescent="0.2">
      <c r="B45" s="594" t="s">
        <v>138</v>
      </c>
      <c r="C45" s="595"/>
      <c r="D45" s="595"/>
      <c r="E45" s="595"/>
      <c r="F45" s="595"/>
      <c r="G45" s="595"/>
      <c r="H45" s="595"/>
      <c r="I45" s="595"/>
      <c r="J45" s="595"/>
      <c r="K45" s="595"/>
      <c r="L45" s="595"/>
      <c r="M45" s="595"/>
      <c r="N45" s="595"/>
      <c r="O45" s="595"/>
      <c r="P45" s="595"/>
      <c r="Q45" s="595"/>
      <c r="R45" s="595"/>
      <c r="S45" s="595"/>
      <c r="AD45" s="278"/>
      <c r="AE45" s="278"/>
      <c r="AF45" s="278"/>
      <c r="AG45" s="278"/>
      <c r="AH45" s="278"/>
      <c r="AI45" s="278"/>
      <c r="AJ45" s="278"/>
      <c r="AK45" s="278"/>
    </row>
    <row r="46" spans="1:37" ht="12.75" customHeight="1" x14ac:dyDescent="0.2">
      <c r="B46" s="298" t="s">
        <v>102</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row>
    <row r="47" spans="1:37" ht="15" customHeight="1" x14ac:dyDescent="0.2">
      <c r="B47" s="93" t="s">
        <v>73</v>
      </c>
      <c r="C47" s="47"/>
      <c r="D47" s="47"/>
      <c r="E47" s="47"/>
      <c r="F47" s="47"/>
      <c r="G47" s="47"/>
      <c r="H47" s="47"/>
      <c r="I47" s="47"/>
      <c r="J47" s="47"/>
      <c r="K47" s="47"/>
      <c r="L47" s="47"/>
      <c r="M47" s="47"/>
      <c r="N47" s="47"/>
      <c r="O47" s="47"/>
      <c r="P47" s="47"/>
      <c r="Q47" s="47"/>
      <c r="R47" s="47"/>
      <c r="S47" s="47"/>
      <c r="T47" s="47"/>
      <c r="U47" s="47"/>
      <c r="V47" s="47"/>
      <c r="W47" s="47"/>
      <c r="X47" s="47"/>
      <c r="AA47" s="47"/>
      <c r="AB47" s="47"/>
      <c r="AC47" s="47"/>
      <c r="AD47" s="47"/>
      <c r="AE47" s="47"/>
      <c r="AF47" s="47"/>
      <c r="AG47" s="47"/>
      <c r="AH47" s="47"/>
      <c r="AI47" s="47"/>
      <c r="AJ47" s="361"/>
      <c r="AK47" s="47"/>
    </row>
    <row r="48" spans="1:37" ht="12.75" customHeight="1" x14ac:dyDescent="0.2">
      <c r="B48" s="93" t="s">
        <v>74</v>
      </c>
      <c r="C48" s="47"/>
      <c r="D48" s="47"/>
      <c r="E48" s="47"/>
      <c r="F48" s="47"/>
      <c r="G48" s="47"/>
      <c r="H48" s="47"/>
      <c r="I48" s="47"/>
      <c r="J48" s="47"/>
      <c r="K48" s="47"/>
      <c r="L48" s="47"/>
      <c r="M48" s="47"/>
      <c r="N48" s="47"/>
      <c r="O48" s="47"/>
      <c r="X48" s="47"/>
      <c r="Z48" s="428"/>
      <c r="AA48" s="47"/>
      <c r="AB48" s="47"/>
      <c r="AC48" s="47"/>
      <c r="AD48" s="47"/>
      <c r="AE48" s="47"/>
      <c r="AF48" s="47"/>
      <c r="AG48" s="47"/>
      <c r="AH48" s="47"/>
      <c r="AI48" s="47"/>
      <c r="AJ48" s="361"/>
      <c r="AK48" s="47"/>
    </row>
    <row r="49" spans="2:2" ht="16.5" customHeight="1" x14ac:dyDescent="0.2">
      <c r="B49" s="185" t="s">
        <v>110</v>
      </c>
    </row>
  </sheetData>
  <mergeCells count="3">
    <mergeCell ref="B2:AK2"/>
    <mergeCell ref="B45:S45"/>
    <mergeCell ref="AG3:AI3"/>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K104"/>
  <sheetViews>
    <sheetView workbookViewId="0">
      <selection activeCell="J100" sqref="J100"/>
    </sheetView>
  </sheetViews>
  <sheetFormatPr defaultRowHeight="12.75" x14ac:dyDescent="0.2"/>
  <cols>
    <col min="1" max="1" width="2.28515625" customWidth="1"/>
    <col min="2" max="2" width="6.140625" customWidth="1"/>
    <col min="3" max="3" width="12.42578125" customWidth="1"/>
    <col min="4" max="7" width="8.7109375" customWidth="1"/>
    <col min="8" max="8" width="1.85546875" customWidth="1"/>
  </cols>
  <sheetData>
    <row r="1" spans="1:7" ht="14.25" customHeight="1" x14ac:dyDescent="0.2">
      <c r="B1" s="65"/>
      <c r="C1" s="31"/>
      <c r="D1" s="31"/>
      <c r="E1" s="31"/>
      <c r="F1" s="31"/>
      <c r="G1" s="20" t="s">
        <v>84</v>
      </c>
    </row>
    <row r="2" spans="1:7" s="80" customFormat="1" ht="30" customHeight="1" x14ac:dyDescent="0.2">
      <c r="A2" s="81"/>
      <c r="B2" s="605" t="s">
        <v>57</v>
      </c>
      <c r="C2" s="605"/>
      <c r="D2" s="605"/>
      <c r="E2" s="605"/>
      <c r="F2" s="605"/>
      <c r="G2" s="605"/>
    </row>
    <row r="3" spans="1:7" ht="15" customHeight="1" x14ac:dyDescent="0.2">
      <c r="B3" s="560" t="s">
        <v>135</v>
      </c>
      <c r="C3" s="560"/>
      <c r="D3" s="560"/>
      <c r="E3" s="560"/>
      <c r="F3" s="560"/>
      <c r="G3" s="560"/>
    </row>
    <row r="4" spans="1:7" ht="12" customHeight="1" x14ac:dyDescent="0.2">
      <c r="B4" s="554" t="s">
        <v>95</v>
      </c>
      <c r="C4" s="554"/>
      <c r="D4" s="554"/>
      <c r="E4" s="554"/>
      <c r="F4" s="554"/>
      <c r="G4" s="554"/>
    </row>
    <row r="5" spans="1:7" x14ac:dyDescent="0.2">
      <c r="B5" s="35"/>
      <c r="C5" s="66" t="s">
        <v>58</v>
      </c>
      <c r="D5" s="606" t="s">
        <v>41</v>
      </c>
      <c r="E5" s="596" t="s">
        <v>46</v>
      </c>
      <c r="F5" s="598" t="s">
        <v>44</v>
      </c>
      <c r="G5" s="67" t="s">
        <v>43</v>
      </c>
    </row>
    <row r="6" spans="1:7" ht="21.75" customHeight="1" x14ac:dyDescent="0.2">
      <c r="B6" s="35"/>
      <c r="C6" s="68"/>
      <c r="D6" s="607"/>
      <c r="E6" s="597"/>
      <c r="F6" s="599"/>
      <c r="G6" s="69"/>
    </row>
    <row r="7" spans="1:7" ht="12.75" customHeight="1" x14ac:dyDescent="0.2">
      <c r="B7" s="117">
        <v>1990</v>
      </c>
      <c r="C7" s="237">
        <v>2432.1716885860001</v>
      </c>
      <c r="D7" s="238">
        <v>1509.566117888</v>
      </c>
      <c r="E7" s="238">
        <v>515.84209138100005</v>
      </c>
      <c r="F7" s="239">
        <v>1519.8948615309998</v>
      </c>
      <c r="G7" s="240">
        <f>SUM(C7:F7)</f>
        <v>5977.4747593860002</v>
      </c>
    </row>
    <row r="8" spans="1:7" ht="12.75" customHeight="1" x14ac:dyDescent="0.2">
      <c r="B8" s="116">
        <v>1991</v>
      </c>
      <c r="C8" s="241">
        <v>2301.7294085389999</v>
      </c>
      <c r="D8" s="242">
        <v>1516.7287420810001</v>
      </c>
      <c r="E8" s="242">
        <v>504.12566753099998</v>
      </c>
      <c r="F8" s="243">
        <v>1505.3230224200001</v>
      </c>
      <c r="G8" s="240">
        <f t="shared" ref="G8:G32" si="0">SUM(C8:F8)</f>
        <v>5827.9068405710004</v>
      </c>
    </row>
    <row r="9" spans="1:7" ht="12.75" customHeight="1" x14ac:dyDescent="0.2">
      <c r="B9" s="116">
        <v>1992</v>
      </c>
      <c r="C9" s="241">
        <v>2404.2785201790002</v>
      </c>
      <c r="D9" s="242">
        <v>1557.470729593</v>
      </c>
      <c r="E9" s="242">
        <v>515.98823460999995</v>
      </c>
      <c r="F9" s="243">
        <v>1532.1247979270001</v>
      </c>
      <c r="G9" s="240">
        <f t="shared" si="0"/>
        <v>6009.8622823090009</v>
      </c>
    </row>
    <row r="10" spans="1:7" ht="12.75" customHeight="1" x14ac:dyDescent="0.2">
      <c r="B10" s="116">
        <v>1993</v>
      </c>
      <c r="C10" s="241">
        <v>2326.3572368350001</v>
      </c>
      <c r="D10" s="242">
        <v>1619.560432342</v>
      </c>
      <c r="E10" s="242">
        <v>496.87486100899997</v>
      </c>
      <c r="F10" s="243">
        <v>1542.7934658480001</v>
      </c>
      <c r="G10" s="240">
        <f t="shared" si="0"/>
        <v>5985.5859960339994</v>
      </c>
    </row>
    <row r="11" spans="1:7" ht="12.75" customHeight="1" x14ac:dyDescent="0.2">
      <c r="B11" s="116">
        <v>1994</v>
      </c>
      <c r="C11" s="241">
        <v>2481.788407902</v>
      </c>
      <c r="D11" s="242">
        <v>1752.9902224479999</v>
      </c>
      <c r="E11" s="242">
        <v>519.78781256900004</v>
      </c>
      <c r="F11" s="243">
        <v>1538.8902946570001</v>
      </c>
      <c r="G11" s="240">
        <f t="shared" si="0"/>
        <v>6293.4567375759998</v>
      </c>
    </row>
    <row r="12" spans="1:7" ht="12.75" customHeight="1" x14ac:dyDescent="0.2">
      <c r="B12" s="118">
        <v>1995</v>
      </c>
      <c r="C12" s="244">
        <v>2239.7313750789999</v>
      </c>
      <c r="D12" s="245">
        <v>1906.26833622</v>
      </c>
      <c r="E12" s="245">
        <v>534.39790155399999</v>
      </c>
      <c r="F12" s="246">
        <v>1564.130801688</v>
      </c>
      <c r="G12" s="240">
        <f t="shared" si="0"/>
        <v>6244.5284145410005</v>
      </c>
    </row>
    <row r="13" spans="1:7" ht="12.75" customHeight="1" thickBot="1" x14ac:dyDescent="0.25">
      <c r="B13" s="71">
        <v>1996</v>
      </c>
      <c r="C13" s="241">
        <v>2356.3125804759998</v>
      </c>
      <c r="D13" s="247">
        <v>1979.6859641859999</v>
      </c>
      <c r="E13" s="247">
        <v>518.47398348000002</v>
      </c>
      <c r="F13" s="248">
        <v>1611.229067385</v>
      </c>
      <c r="G13" s="240">
        <f t="shared" si="0"/>
        <v>6465.7015955269999</v>
      </c>
    </row>
    <row r="14" spans="1:7" ht="12.75" customHeight="1" thickTop="1" x14ac:dyDescent="0.2">
      <c r="B14" s="71">
        <v>1997</v>
      </c>
      <c r="C14" s="241">
        <v>2682.6569609409999</v>
      </c>
      <c r="D14" s="247">
        <v>1969.394619315</v>
      </c>
      <c r="E14" s="247">
        <v>520.025934054</v>
      </c>
      <c r="F14" s="489">
        <v>1604.203359243</v>
      </c>
      <c r="G14" s="399">
        <f t="shared" si="0"/>
        <v>6776.2808735529998</v>
      </c>
    </row>
    <row r="15" spans="1:7" ht="12.75" customHeight="1" x14ac:dyDescent="0.2">
      <c r="B15" s="71">
        <v>1998</v>
      </c>
      <c r="C15" s="241">
        <v>2832.9436534339998</v>
      </c>
      <c r="D15" s="247">
        <v>2010.0928076569999</v>
      </c>
      <c r="E15" s="247">
        <v>521.20646767100004</v>
      </c>
      <c r="F15" s="248">
        <v>1540.4650870129999</v>
      </c>
      <c r="G15" s="240">
        <f t="shared" si="0"/>
        <v>6904.7080157749997</v>
      </c>
    </row>
    <row r="16" spans="1:7" ht="12.75" customHeight="1" x14ac:dyDescent="0.2">
      <c r="B16" s="71">
        <v>1999</v>
      </c>
      <c r="C16" s="241">
        <v>2871.184778719</v>
      </c>
      <c r="D16" s="247">
        <v>2092.813379234</v>
      </c>
      <c r="E16" s="247">
        <v>528.17316357899995</v>
      </c>
      <c r="F16" s="248">
        <v>1476.726814784</v>
      </c>
      <c r="G16" s="240">
        <f t="shared" si="0"/>
        <v>6968.8981363160001</v>
      </c>
    </row>
    <row r="17" spans="2:7" ht="12.75" customHeight="1" x14ac:dyDescent="0.2">
      <c r="B17" s="71">
        <v>2000</v>
      </c>
      <c r="C17" s="241">
        <v>2929.097513277</v>
      </c>
      <c r="D17" s="247">
        <v>2140.261019604</v>
      </c>
      <c r="E17" s="247">
        <v>526.228772445</v>
      </c>
      <c r="F17" s="248">
        <v>1412.9885425549999</v>
      </c>
      <c r="G17" s="240">
        <f t="shared" si="0"/>
        <v>7008.5758478810003</v>
      </c>
    </row>
    <row r="18" spans="2:7" ht="12.75" customHeight="1" x14ac:dyDescent="0.2">
      <c r="B18" s="71">
        <v>2001</v>
      </c>
      <c r="C18" s="241">
        <v>3002.9604851399999</v>
      </c>
      <c r="D18" s="247">
        <v>2183.3477226590003</v>
      </c>
      <c r="E18" s="247">
        <v>504.73345400700003</v>
      </c>
      <c r="F18" s="248">
        <v>1349.250270326</v>
      </c>
      <c r="G18" s="240">
        <f t="shared" si="0"/>
        <v>7040.2919321319996</v>
      </c>
    </row>
    <row r="19" spans="2:7" ht="12.75" customHeight="1" x14ac:dyDescent="0.2">
      <c r="B19" s="71">
        <v>2002</v>
      </c>
      <c r="C19" s="241">
        <v>3237.5279707010004</v>
      </c>
      <c r="D19" s="247">
        <v>2200.1943432389999</v>
      </c>
      <c r="E19" s="247">
        <v>506.27474678300001</v>
      </c>
      <c r="F19" s="248">
        <v>1285.5119980959998</v>
      </c>
      <c r="G19" s="240">
        <f t="shared" si="0"/>
        <v>7229.5090588190005</v>
      </c>
    </row>
    <row r="20" spans="2:7" ht="12.75" customHeight="1" x14ac:dyDescent="0.2">
      <c r="B20" s="71">
        <v>2003</v>
      </c>
      <c r="C20" s="241">
        <v>3294.7244815199997</v>
      </c>
      <c r="D20" s="247">
        <v>2265.0565334200001</v>
      </c>
      <c r="E20" s="247">
        <v>475.80468650999995</v>
      </c>
      <c r="F20" s="248">
        <v>1278.3074572129999</v>
      </c>
      <c r="G20" s="240">
        <f t="shared" si="0"/>
        <v>7313.8931586629988</v>
      </c>
    </row>
    <row r="21" spans="2:7" ht="12.75" customHeight="1" x14ac:dyDescent="0.2">
      <c r="B21" s="71">
        <v>2004</v>
      </c>
      <c r="C21" s="241">
        <v>3330.1503359879998</v>
      </c>
      <c r="D21" s="247">
        <v>2427.3470563119999</v>
      </c>
      <c r="E21" s="247">
        <v>496.24707291300001</v>
      </c>
      <c r="F21" s="248">
        <v>1271.10291633</v>
      </c>
      <c r="G21" s="240">
        <f t="shared" si="0"/>
        <v>7524.8473815429998</v>
      </c>
    </row>
    <row r="22" spans="2:7" ht="12.75" customHeight="1" x14ac:dyDescent="0.2">
      <c r="B22" s="71">
        <v>2005</v>
      </c>
      <c r="C22" s="241">
        <v>3275.6405549750002</v>
      </c>
      <c r="D22" s="247">
        <v>2476.7335399200001</v>
      </c>
      <c r="E22" s="247">
        <v>476.450140272</v>
      </c>
      <c r="F22" s="248">
        <v>1263.8983754469998</v>
      </c>
      <c r="G22" s="240">
        <f t="shared" si="0"/>
        <v>7492.7226106139997</v>
      </c>
    </row>
    <row r="23" spans="2:7" ht="12.75" customHeight="1" x14ac:dyDescent="0.2">
      <c r="B23" s="71">
        <v>2006</v>
      </c>
      <c r="C23" s="241">
        <v>3197.3377178840001</v>
      </c>
      <c r="D23" s="247">
        <v>2586.9205707200003</v>
      </c>
      <c r="E23" s="247">
        <v>488.54922286699997</v>
      </c>
      <c r="F23" s="248">
        <v>1256.6938345629999</v>
      </c>
      <c r="G23" s="240">
        <f t="shared" si="0"/>
        <v>7529.5013460339997</v>
      </c>
    </row>
    <row r="24" spans="2:7" ht="12.75" customHeight="1" x14ac:dyDescent="0.2">
      <c r="B24" s="71">
        <v>2007</v>
      </c>
      <c r="C24" s="241">
        <v>3264.7978569029997</v>
      </c>
      <c r="D24" s="247">
        <v>2584.9466881459998</v>
      </c>
      <c r="E24" s="247">
        <v>472.31520667300003</v>
      </c>
      <c r="F24" s="248">
        <v>1249.4892936799999</v>
      </c>
      <c r="G24" s="240">
        <f t="shared" si="0"/>
        <v>7571.5490454019991</v>
      </c>
    </row>
    <row r="25" spans="2:7" ht="12.75" customHeight="1" x14ac:dyDescent="0.2">
      <c r="B25" s="71">
        <v>2008</v>
      </c>
      <c r="C25" s="249">
        <v>2738.507064506</v>
      </c>
      <c r="D25" s="247">
        <v>2594.7153629270001</v>
      </c>
      <c r="E25" s="247">
        <v>454.35550319700002</v>
      </c>
      <c r="F25" s="248">
        <v>1432.7041757879999</v>
      </c>
      <c r="G25" s="240">
        <f t="shared" si="0"/>
        <v>7220.2821064179998</v>
      </c>
    </row>
    <row r="26" spans="2:7" ht="12.75" customHeight="1" x14ac:dyDescent="0.2">
      <c r="B26" s="71">
        <v>2009</v>
      </c>
      <c r="C26" s="250">
        <v>2999.1689423509997</v>
      </c>
      <c r="D26" s="247">
        <v>2236.9900255749999</v>
      </c>
      <c r="E26" s="247">
        <v>406.93633228799996</v>
      </c>
      <c r="F26" s="248">
        <v>1382.9615885799999</v>
      </c>
      <c r="G26" s="240">
        <f t="shared" si="0"/>
        <v>7026.056888793999</v>
      </c>
    </row>
    <row r="27" spans="2:7" ht="12.75" customHeight="1" thickBot="1" x14ac:dyDescent="0.25">
      <c r="B27" s="71">
        <v>2010</v>
      </c>
      <c r="C27" s="249">
        <v>2672.8608560100001</v>
      </c>
      <c r="D27" s="251">
        <v>2468.8190299829998</v>
      </c>
      <c r="E27" s="247">
        <v>450.60249835600001</v>
      </c>
      <c r="F27" s="252">
        <v>1395.7131633179999</v>
      </c>
      <c r="G27" s="398">
        <f t="shared" si="0"/>
        <v>6987.9955476670002</v>
      </c>
    </row>
    <row r="28" spans="2:7" ht="12.75" customHeight="1" thickTop="1" thickBot="1" x14ac:dyDescent="0.25">
      <c r="B28" s="71">
        <v>2011</v>
      </c>
      <c r="C28" s="251">
        <v>2409.7668205680002</v>
      </c>
      <c r="D28" s="251">
        <v>2524.6658911</v>
      </c>
      <c r="E28" s="256">
        <v>464.165203201</v>
      </c>
      <c r="F28" s="255">
        <v>1486.371802507</v>
      </c>
      <c r="G28" s="240">
        <f t="shared" si="0"/>
        <v>6884.9697173759996</v>
      </c>
    </row>
    <row r="29" spans="2:7" ht="12.75" customHeight="1" thickTop="1" x14ac:dyDescent="0.2">
      <c r="B29" s="71">
        <v>2012</v>
      </c>
      <c r="C29" s="273">
        <v>2684.3753897859997</v>
      </c>
      <c r="D29" s="251">
        <v>2500.300413081</v>
      </c>
      <c r="E29" s="256">
        <v>462.01685393500003</v>
      </c>
      <c r="F29" s="256">
        <v>1251.0106631359999</v>
      </c>
      <c r="G29" s="399">
        <f t="shared" si="0"/>
        <v>6897.7033199379985</v>
      </c>
    </row>
    <row r="30" spans="2:7" ht="12.75" customHeight="1" x14ac:dyDescent="0.2">
      <c r="B30" s="71">
        <v>2013</v>
      </c>
      <c r="C30" s="251">
        <v>2926.4822663560003</v>
      </c>
      <c r="D30" s="251">
        <v>2541.354834669</v>
      </c>
      <c r="E30" s="256">
        <v>438.19915753000004</v>
      </c>
      <c r="F30" s="256">
        <v>1195.4785647420001</v>
      </c>
      <c r="G30" s="240">
        <f t="shared" si="0"/>
        <v>7101.5148232970005</v>
      </c>
    </row>
    <row r="31" spans="2:7" ht="12.75" customHeight="1" x14ac:dyDescent="0.2">
      <c r="B31" s="299">
        <v>2014</v>
      </c>
      <c r="C31" s="249">
        <v>2856.9189972549998</v>
      </c>
      <c r="D31" s="251">
        <v>2702.7430946689997</v>
      </c>
      <c r="E31" s="256">
        <v>482.74773086700003</v>
      </c>
      <c r="F31" s="309">
        <v>1247.7392812529999</v>
      </c>
      <c r="G31" s="240">
        <f t="shared" si="0"/>
        <v>7290.1491040439996</v>
      </c>
    </row>
    <row r="32" spans="2:7" ht="12.75" customHeight="1" x14ac:dyDescent="0.2">
      <c r="B32" s="299">
        <v>2015</v>
      </c>
      <c r="C32" s="310">
        <v>2899.4472150309998</v>
      </c>
      <c r="D32" s="251">
        <v>2537.845061216</v>
      </c>
      <c r="E32" s="256">
        <v>457.89622806300002</v>
      </c>
      <c r="F32" s="256">
        <v>1288.5717140500001</v>
      </c>
      <c r="G32" s="240">
        <f t="shared" si="0"/>
        <v>7183.7602183600002</v>
      </c>
    </row>
    <row r="33" spans="1:7" ht="14.25" customHeight="1" x14ac:dyDescent="0.2">
      <c r="B33" s="299">
        <v>2016</v>
      </c>
      <c r="C33" s="249">
        <v>3008.8253343669999</v>
      </c>
      <c r="D33" s="251">
        <v>2314.6985121840003</v>
      </c>
      <c r="E33" s="251">
        <v>444.99197073399995</v>
      </c>
      <c r="F33" s="256">
        <v>1269.7776509949999</v>
      </c>
      <c r="G33" s="240">
        <f>SUM(C33:F33)</f>
        <v>7038.2934682799996</v>
      </c>
    </row>
    <row r="34" spans="1:7" ht="14.25" customHeight="1" x14ac:dyDescent="0.2">
      <c r="B34" s="299">
        <v>2017</v>
      </c>
      <c r="C34" s="249">
        <v>3454.36572819</v>
      </c>
      <c r="D34" s="251">
        <v>2445.138278982</v>
      </c>
      <c r="E34" s="251">
        <v>454.98825520000003</v>
      </c>
      <c r="F34" s="252">
        <v>1288.9570007450002</v>
      </c>
      <c r="G34" s="240">
        <f>SUM(C34:F34)</f>
        <v>7643.4492631169996</v>
      </c>
    </row>
    <row r="35" spans="1:7" ht="14.25" customHeight="1" x14ac:dyDescent="0.2">
      <c r="B35" s="299">
        <v>2018</v>
      </c>
      <c r="C35" s="249">
        <v>3418.823859993</v>
      </c>
      <c r="D35" s="251">
        <v>2525.2236005250002</v>
      </c>
      <c r="E35" s="251">
        <v>462.945396329</v>
      </c>
      <c r="F35" s="252">
        <v>1361.4580580889999</v>
      </c>
      <c r="G35" s="494">
        <f>SUM(C35:F35)</f>
        <v>7768.4509149360001</v>
      </c>
    </row>
    <row r="36" spans="1:7" ht="14.25" customHeight="1" x14ac:dyDescent="0.2">
      <c r="A36" s="314"/>
      <c r="B36" s="478">
        <v>2019</v>
      </c>
      <c r="C36" s="249">
        <v>3457.1965063450002</v>
      </c>
      <c r="D36" s="251">
        <v>2357.122387806</v>
      </c>
      <c r="E36" s="251">
        <v>425.24803508899998</v>
      </c>
      <c r="F36" s="251">
        <v>1409.0611855110001</v>
      </c>
      <c r="G36" s="494">
        <f>SUM(C36:F36)</f>
        <v>7648.6281147509999</v>
      </c>
    </row>
    <row r="37" spans="1:7" ht="14.25" customHeight="1" x14ac:dyDescent="0.2">
      <c r="B37" s="444">
        <v>2020</v>
      </c>
      <c r="C37" s="249">
        <v>3543.0105512999999</v>
      </c>
      <c r="D37" s="455">
        <v>2102.0885833720004</v>
      </c>
      <c r="E37" s="455">
        <v>409.66443656199999</v>
      </c>
      <c r="F37" s="531">
        <v>1352.387886624</v>
      </c>
      <c r="G37" s="495">
        <f>SUM(C37:F37)</f>
        <v>7407.151457858</v>
      </c>
    </row>
    <row r="38" spans="1:7" ht="14.25" customHeight="1" x14ac:dyDescent="0.2">
      <c r="A38" s="314"/>
      <c r="C38" s="236"/>
    </row>
    <row r="39" spans="1:7" ht="17.25" customHeight="1" x14ac:dyDescent="0.2">
      <c r="B39" s="203" t="s">
        <v>103</v>
      </c>
      <c r="C39" s="72"/>
      <c r="D39" s="72"/>
      <c r="E39" s="72"/>
      <c r="F39" s="72"/>
      <c r="G39" s="72"/>
    </row>
    <row r="40" spans="1:7" ht="39" customHeight="1" x14ac:dyDescent="0.2">
      <c r="B40" s="608" t="s">
        <v>140</v>
      </c>
      <c r="C40" s="609"/>
      <c r="D40" s="609"/>
      <c r="E40" s="609"/>
      <c r="F40" s="609"/>
      <c r="G40" s="609"/>
    </row>
    <row r="41" spans="1:7" ht="12" customHeight="1" x14ac:dyDescent="0.2">
      <c r="B41" s="603" t="s">
        <v>59</v>
      </c>
      <c r="C41" s="603"/>
      <c r="D41" s="603"/>
      <c r="E41" s="603"/>
      <c r="F41" s="603"/>
      <c r="G41" s="603"/>
    </row>
    <row r="42" spans="1:7" x14ac:dyDescent="0.2">
      <c r="B42" s="555" t="s">
        <v>60</v>
      </c>
      <c r="C42" s="555"/>
      <c r="D42" s="555"/>
      <c r="E42" s="555"/>
      <c r="F42" s="555"/>
      <c r="G42" s="555"/>
    </row>
    <row r="43" spans="1:7" ht="23.25" customHeight="1" x14ac:dyDescent="0.2">
      <c r="B43" s="35"/>
      <c r="C43" s="73" t="s">
        <v>40</v>
      </c>
      <c r="D43" s="67" t="s">
        <v>41</v>
      </c>
      <c r="E43" s="596" t="s">
        <v>46</v>
      </c>
      <c r="F43" s="601" t="s">
        <v>44</v>
      </c>
      <c r="G43" s="73" t="s">
        <v>43</v>
      </c>
    </row>
    <row r="44" spans="1:7" ht="12.75" customHeight="1" x14ac:dyDescent="0.2">
      <c r="B44" s="35"/>
      <c r="C44" s="119"/>
      <c r="D44" s="120" t="s">
        <v>34</v>
      </c>
      <c r="E44" s="600"/>
      <c r="F44" s="602"/>
      <c r="G44" s="100"/>
    </row>
    <row r="45" spans="1:7" ht="12.75" customHeight="1" x14ac:dyDescent="0.2">
      <c r="B45" s="70">
        <v>2001</v>
      </c>
      <c r="C45" s="94">
        <f t="shared" ref="C45:G56" si="1">(C18/C17-1)*100</f>
        <v>2.5216972643687718</v>
      </c>
      <c r="D45" s="94">
        <f t="shared" si="1"/>
        <v>2.0131517913162034</v>
      </c>
      <c r="E45" s="94">
        <f t="shared" si="1"/>
        <v>-4.0847858504822865</v>
      </c>
      <c r="F45" s="94">
        <f t="shared" si="1"/>
        <v>-4.5108838684386532</v>
      </c>
      <c r="G45" s="121">
        <f t="shared" si="1"/>
        <v>0.4525325107323841</v>
      </c>
    </row>
    <row r="46" spans="1:7" ht="12.75" customHeight="1" x14ac:dyDescent="0.2">
      <c r="B46" s="71">
        <v>2002</v>
      </c>
      <c r="C46" s="60">
        <f t="shared" si="1"/>
        <v>7.8112078637646354</v>
      </c>
      <c r="D46" s="60">
        <f t="shared" si="1"/>
        <v>0.77159585736910064</v>
      </c>
      <c r="E46" s="60">
        <f t="shared" si="1"/>
        <v>0.30536766758055833</v>
      </c>
      <c r="F46" s="60">
        <f t="shared" si="1"/>
        <v>-4.7239769842402861</v>
      </c>
      <c r="G46" s="75">
        <f t="shared" si="1"/>
        <v>2.6876318270753874</v>
      </c>
    </row>
    <row r="47" spans="1:7" ht="12.75" customHeight="1" x14ac:dyDescent="0.2">
      <c r="B47" s="71">
        <v>2003</v>
      </c>
      <c r="C47" s="60">
        <f t="shared" si="1"/>
        <v>1.7666723295247655</v>
      </c>
      <c r="D47" s="60">
        <f t="shared" si="1"/>
        <v>2.9480209500726939</v>
      </c>
      <c r="E47" s="60">
        <f t="shared" si="1"/>
        <v>-6.018483139167941</v>
      </c>
      <c r="F47" s="60">
        <f t="shared" si="1"/>
        <v>-0.56044135672562723</v>
      </c>
      <c r="G47" s="75">
        <f t="shared" si="1"/>
        <v>1.167217568405432</v>
      </c>
    </row>
    <row r="48" spans="1:7" ht="12.75" customHeight="1" x14ac:dyDescent="0.2">
      <c r="B48" s="71">
        <v>2004</v>
      </c>
      <c r="C48" s="60">
        <f t="shared" si="1"/>
        <v>1.0752296486914892</v>
      </c>
      <c r="D48" s="60">
        <f t="shared" si="1"/>
        <v>7.1649656641001425</v>
      </c>
      <c r="E48" s="60">
        <f t="shared" si="1"/>
        <v>4.2963818942061582</v>
      </c>
      <c r="F48" s="60">
        <f t="shared" si="1"/>
        <v>-0.56360000423587575</v>
      </c>
      <c r="G48" s="75">
        <f t="shared" si="1"/>
        <v>2.8842945652020502</v>
      </c>
    </row>
    <row r="49" spans="2:7" ht="12.75" customHeight="1" x14ac:dyDescent="0.2">
      <c r="B49" s="71">
        <v>2005</v>
      </c>
      <c r="C49" s="60">
        <f t="shared" si="1"/>
        <v>-1.6368564633232219</v>
      </c>
      <c r="D49" s="60">
        <f t="shared" si="1"/>
        <v>2.0345868333733863</v>
      </c>
      <c r="E49" s="60">
        <f t="shared" si="1"/>
        <v>-3.9893298563537738</v>
      </c>
      <c r="F49" s="60">
        <f t="shared" si="1"/>
        <v>-0.56679445782419347</v>
      </c>
      <c r="G49" s="75">
        <f t="shared" si="1"/>
        <v>-0.42691591337514767</v>
      </c>
    </row>
    <row r="50" spans="2:7" ht="12.75" customHeight="1" x14ac:dyDescent="0.2">
      <c r="B50" s="71">
        <v>2006</v>
      </c>
      <c r="C50" s="60">
        <f t="shared" si="1"/>
        <v>-2.3904587752180184</v>
      </c>
      <c r="D50" s="60">
        <f t="shared" si="1"/>
        <v>4.4488851555488429</v>
      </c>
      <c r="E50" s="60">
        <f t="shared" si="1"/>
        <v>2.5394226115859064</v>
      </c>
      <c r="F50" s="60">
        <f t="shared" si="1"/>
        <v>-0.57002532988080779</v>
      </c>
      <c r="G50" s="75">
        <f t="shared" si="1"/>
        <v>0.49085942895976675</v>
      </c>
    </row>
    <row r="51" spans="2:7" ht="12.75" customHeight="1" x14ac:dyDescent="0.2">
      <c r="B51" s="71">
        <v>2007</v>
      </c>
      <c r="C51" s="60">
        <f t="shared" si="1"/>
        <v>2.1098846906808744</v>
      </c>
      <c r="D51" s="60">
        <f t="shared" si="1"/>
        <v>-7.6302403573647037E-2</v>
      </c>
      <c r="E51" s="60">
        <f t="shared" si="1"/>
        <v>-3.3229028794135251</v>
      </c>
      <c r="F51" s="60">
        <f t="shared" si="1"/>
        <v>-0.57329324652135583</v>
      </c>
      <c r="G51" s="175">
        <f t="shared" si="1"/>
        <v>0.55843936318766829</v>
      </c>
    </row>
    <row r="52" spans="2:7" ht="12.75" customHeight="1" x14ac:dyDescent="0.2">
      <c r="B52" s="71">
        <v>2008</v>
      </c>
      <c r="C52" s="60">
        <f t="shared" si="1"/>
        <v>-16.120164722732365</v>
      </c>
      <c r="D52" s="60">
        <f t="shared" si="1"/>
        <v>0.37790623790414646</v>
      </c>
      <c r="E52" s="60">
        <f t="shared" si="1"/>
        <v>-3.802482584143041</v>
      </c>
      <c r="F52" s="60">
        <f t="shared" si="1"/>
        <v>14.66318143218297</v>
      </c>
      <c r="G52" s="175">
        <f t="shared" si="1"/>
        <v>-4.6393008468632253</v>
      </c>
    </row>
    <row r="53" spans="2:7" ht="12.75" customHeight="1" x14ac:dyDescent="0.2">
      <c r="B53" s="71">
        <v>2009</v>
      </c>
      <c r="C53" s="60">
        <f t="shared" si="1"/>
        <v>9.5183934788213076</v>
      </c>
      <c r="D53" s="60">
        <f t="shared" si="1"/>
        <v>-13.786688993449514</v>
      </c>
      <c r="E53" s="60">
        <f t="shared" si="1"/>
        <v>-10.436578972928167</v>
      </c>
      <c r="F53" s="60">
        <f t="shared" si="1"/>
        <v>-3.4719370578117581</v>
      </c>
      <c r="G53" s="175">
        <f t="shared" si="1"/>
        <v>-2.6899948611614044</v>
      </c>
    </row>
    <row r="54" spans="2:7" ht="12.75" customHeight="1" thickBot="1" x14ac:dyDescent="0.25">
      <c r="B54" s="71">
        <v>2010</v>
      </c>
      <c r="C54" s="233">
        <f t="shared" si="1"/>
        <v>-10.879950166635567</v>
      </c>
      <c r="D54" s="233">
        <f t="shared" si="1"/>
        <v>10.363434872643662</v>
      </c>
      <c r="E54" s="233">
        <f t="shared" si="1"/>
        <v>10.730466317049391</v>
      </c>
      <c r="F54" s="233">
        <f t="shared" si="1"/>
        <v>0.92204836658500433</v>
      </c>
      <c r="G54" s="175">
        <f t="shared" si="1"/>
        <v>-0.54171695062280589</v>
      </c>
    </row>
    <row r="55" spans="2:7" ht="12.75" customHeight="1" thickTop="1" thickBot="1" x14ac:dyDescent="0.25">
      <c r="B55" s="71">
        <v>2011</v>
      </c>
      <c r="C55" s="234">
        <f t="shared" si="1"/>
        <v>-9.8431624246516964</v>
      </c>
      <c r="D55" s="233">
        <f t="shared" si="1"/>
        <v>2.2620880849814506</v>
      </c>
      <c r="E55" s="233">
        <f t="shared" si="1"/>
        <v>3.0099044933134644</v>
      </c>
      <c r="F55" s="274">
        <f t="shared" si="1"/>
        <v>6.4955064960109166</v>
      </c>
      <c r="G55" s="275">
        <f t="shared" si="1"/>
        <v>-1.4743259292057886</v>
      </c>
    </row>
    <row r="56" spans="2:7" ht="12.75" customHeight="1" thickTop="1" x14ac:dyDescent="0.2">
      <c r="B56" s="71">
        <v>2012</v>
      </c>
      <c r="C56" s="257">
        <f t="shared" si="1"/>
        <v>11.395649026044442</v>
      </c>
      <c r="D56" s="233">
        <f t="shared" si="1"/>
        <v>-0.96509712849108809</v>
      </c>
      <c r="E56" s="233">
        <f t="shared" si="1"/>
        <v>-0.46284151659461426</v>
      </c>
      <c r="F56" s="233">
        <f t="shared" si="1"/>
        <v>-15.834607395944033</v>
      </c>
      <c r="G56" s="175">
        <f t="shared" si="1"/>
        <v>0.18494783687810212</v>
      </c>
    </row>
    <row r="57" spans="2:7" ht="12.75" customHeight="1" x14ac:dyDescent="0.2">
      <c r="B57" s="71">
        <v>2013</v>
      </c>
      <c r="C57" s="234">
        <f>(C30/C29-1)*100</f>
        <v>9.0191139991527614</v>
      </c>
      <c r="D57" s="233">
        <f t="shared" ref="D57:G57" si="2">(D30/D29-1)*100</f>
        <v>1.6419795546652072</v>
      </c>
      <c r="E57" s="233">
        <f t="shared" si="2"/>
        <v>-5.1551574801102067</v>
      </c>
      <c r="F57" s="233">
        <f t="shared" si="2"/>
        <v>-4.4389788217147119</v>
      </c>
      <c r="G57" s="175">
        <f t="shared" si="2"/>
        <v>2.9547734065319853</v>
      </c>
    </row>
    <row r="58" spans="2:7" ht="12.75" customHeight="1" x14ac:dyDescent="0.2">
      <c r="B58" s="71">
        <v>2014</v>
      </c>
      <c r="C58" s="300">
        <f>(C31/C30-1)*100</f>
        <v>-2.3770268455314936</v>
      </c>
      <c r="D58" s="233">
        <f t="shared" ref="D58:G58" si="3">(D31/D30-1)*100</f>
        <v>6.3504811606136746</v>
      </c>
      <c r="E58" s="233">
        <f t="shared" si="3"/>
        <v>10.166284569807772</v>
      </c>
      <c r="F58" s="233">
        <f t="shared" si="3"/>
        <v>4.3715310380557426</v>
      </c>
      <c r="G58" s="175">
        <f t="shared" si="3"/>
        <v>2.6562541294453457</v>
      </c>
    </row>
    <row r="59" spans="2:7" ht="16.5" customHeight="1" x14ac:dyDescent="0.2">
      <c r="B59" s="71">
        <v>2015</v>
      </c>
      <c r="C59" s="300">
        <f t="shared" ref="C59:G59" si="4">(C32/C31-1)*100</f>
        <v>1.4886042557336054</v>
      </c>
      <c r="D59" s="233">
        <f t="shared" si="4"/>
        <v>-6.1011360561146644</v>
      </c>
      <c r="E59" s="233">
        <f t="shared" si="4"/>
        <v>-5.1479274194344722</v>
      </c>
      <c r="F59" s="233">
        <f t="shared" si="4"/>
        <v>3.2725132093297304</v>
      </c>
      <c r="G59" s="175">
        <f t="shared" si="4"/>
        <v>-1.4593512994814262</v>
      </c>
    </row>
    <row r="60" spans="2:7" ht="15" customHeight="1" x14ac:dyDescent="0.2">
      <c r="B60" s="71">
        <v>2016</v>
      </c>
      <c r="C60" s="300">
        <f t="shared" ref="C60:G60" si="5">(C33/C32-1)*100</f>
        <v>3.77237836126052</v>
      </c>
      <c r="D60" s="233">
        <f t="shared" si="5"/>
        <v>-8.7927569906525278</v>
      </c>
      <c r="E60" s="233">
        <f t="shared" si="5"/>
        <v>-2.8181619629381705</v>
      </c>
      <c r="F60" s="233">
        <f t="shared" si="5"/>
        <v>-1.4585189826905376</v>
      </c>
      <c r="G60" s="175">
        <f t="shared" si="5"/>
        <v>-2.0249388295035531</v>
      </c>
    </row>
    <row r="61" spans="2:7" ht="15" customHeight="1" x14ac:dyDescent="0.2">
      <c r="B61" s="71">
        <v>2017</v>
      </c>
      <c r="C61" s="300">
        <f t="shared" ref="C61:G61" si="6">(C34/C33-1)*100</f>
        <v>14.807785242101247</v>
      </c>
      <c r="D61" s="233">
        <f t="shared" si="6"/>
        <v>5.635281057614927</v>
      </c>
      <c r="E61" s="233">
        <f t="shared" si="6"/>
        <v>2.2463965921703188</v>
      </c>
      <c r="F61" s="233">
        <f t="shared" si="6"/>
        <v>1.5104494660912682</v>
      </c>
      <c r="G61" s="175">
        <f t="shared" si="6"/>
        <v>8.598047205111591</v>
      </c>
    </row>
    <row r="62" spans="2:7" ht="15" customHeight="1" x14ac:dyDescent="0.2">
      <c r="B62" s="71">
        <v>2018</v>
      </c>
      <c r="C62" s="300">
        <f t="shared" ref="C62:G62" si="7">(C35/C34-1)*100</f>
        <v>-1.0288970825223842</v>
      </c>
      <c r="D62" s="233">
        <f t="shared" si="7"/>
        <v>3.2752880371388571</v>
      </c>
      <c r="E62" s="233">
        <f t="shared" si="7"/>
        <v>1.7488673692252155</v>
      </c>
      <c r="F62" s="233">
        <f t="shared" si="7"/>
        <v>5.6247847912765936</v>
      </c>
      <c r="G62" s="175">
        <f t="shared" si="7"/>
        <v>1.6354089301303887</v>
      </c>
    </row>
    <row r="63" spans="2:7" ht="15" customHeight="1" x14ac:dyDescent="0.2">
      <c r="B63" s="71">
        <v>2019</v>
      </c>
      <c r="C63" s="300">
        <f t="shared" ref="C63:G64" si="8">(C36/C35-1)*100</f>
        <v>1.122393194953264</v>
      </c>
      <c r="D63" s="233">
        <f t="shared" si="8"/>
        <v>-6.6568842729036515</v>
      </c>
      <c r="E63" s="233">
        <f t="shared" si="8"/>
        <v>-8.1429390029423168</v>
      </c>
      <c r="F63" s="490">
        <f t="shared" si="8"/>
        <v>3.4964813744477796</v>
      </c>
      <c r="G63" s="175">
        <f t="shared" si="8"/>
        <v>-1.5424284905324326</v>
      </c>
    </row>
    <row r="64" spans="2:7" ht="15" customHeight="1" x14ac:dyDescent="0.2">
      <c r="B64" s="444">
        <v>2020</v>
      </c>
      <c r="C64" s="456">
        <f t="shared" si="8"/>
        <v>2.4821859213818076</v>
      </c>
      <c r="D64" s="451">
        <f t="shared" si="8"/>
        <v>-10.819709903624652</v>
      </c>
      <c r="E64" s="451">
        <f t="shared" si="8"/>
        <v>-3.6645903663584223</v>
      </c>
      <c r="F64" s="491">
        <f t="shared" si="8"/>
        <v>-4.0220608920149452</v>
      </c>
      <c r="G64" s="493">
        <f t="shared" si="8"/>
        <v>-3.1571237778876049</v>
      </c>
    </row>
    <row r="65" spans="2:11" ht="20.100000000000001" customHeight="1" x14ac:dyDescent="0.2">
      <c r="B65" s="76" t="s">
        <v>62</v>
      </c>
      <c r="C65" s="316">
        <f>100*(POWER((C12/C7), 1/5) -1)</f>
        <v>-1.6350578211437483</v>
      </c>
      <c r="D65" s="60">
        <f>100*(POWER((D12/D7), 1/5) -1)</f>
        <v>4.7771011961594834</v>
      </c>
      <c r="E65" s="60">
        <f>100*(POWER((E12/E7), 1/5) -1)</f>
        <v>0.70930375250364275</v>
      </c>
      <c r="F65" s="492">
        <f>100*(POWER((F12/F7), 1/5) -1)</f>
        <v>0.57543146284175783</v>
      </c>
      <c r="G65" s="75">
        <f>100*(POWER((G12/G7), 1/5) -1)</f>
        <v>0.87798041393423176</v>
      </c>
    </row>
    <row r="66" spans="2:11" ht="20.100000000000001" customHeight="1" x14ac:dyDescent="0.2">
      <c r="B66" s="76" t="s">
        <v>61</v>
      </c>
      <c r="C66" s="60">
        <f>100*(POWER((C17/C12), 1/5) -1)</f>
        <v>5.5133906599079241</v>
      </c>
      <c r="D66" s="60">
        <f>100*(POWER((D17/D12), 1/5) -1)</f>
        <v>2.342622518639037</v>
      </c>
      <c r="E66" s="60">
        <f>100*(POWER((E17/E12), 1/5) -1)</f>
        <v>-0.30761885454360094</v>
      </c>
      <c r="F66" s="492">
        <f>100*(POWER((F17/F12), 1/5) -1)</f>
        <v>-2.0119501705730958</v>
      </c>
      <c r="G66" s="75">
        <f>100*(POWER((G17/G12), 1/5) -1)</f>
        <v>2.3354317824555437</v>
      </c>
    </row>
    <row r="67" spans="2:11" ht="21" customHeight="1" x14ac:dyDescent="0.2">
      <c r="B67" s="76" t="s">
        <v>111</v>
      </c>
      <c r="C67" s="233">
        <f>100*(POWER((C27/C17), 1/10) -1)</f>
        <v>-0.91127230768914824</v>
      </c>
      <c r="D67" s="233">
        <f>100*(POWER((D27/D17), 1/10) -1)</f>
        <v>1.4383675433427445</v>
      </c>
      <c r="E67" s="233">
        <f>100*(POWER((E27/E17), 1/10) -1)</f>
        <v>-1.5395309129312529</v>
      </c>
      <c r="F67" s="315">
        <f>100*(POWER((F27/F17), 1/10) -1)</f>
        <v>-0.12293919026997724</v>
      </c>
      <c r="G67" s="175">
        <f>100*(POWER((G27/G17), 1/10) -1)</f>
        <v>-2.9403328382471283E-2</v>
      </c>
    </row>
    <row r="68" spans="2:11" ht="19.5" customHeight="1" x14ac:dyDescent="0.2">
      <c r="B68" s="77" t="s">
        <v>151</v>
      </c>
      <c r="C68" s="451">
        <f>100*(POWER((C37/C28), 1/9) -1)</f>
        <v>4.3757751778134901</v>
      </c>
      <c r="D68" s="451">
        <f t="shared" ref="D68:G68" si="9">100*(POWER((D37/D28), 1/9) -1)</f>
        <v>-2.0147310559865739</v>
      </c>
      <c r="E68" s="451">
        <f t="shared" si="9"/>
        <v>-1.3782161270439741</v>
      </c>
      <c r="F68" s="457">
        <f t="shared" si="9"/>
        <v>-1.044136030030407</v>
      </c>
      <c r="G68" s="348">
        <f t="shared" si="9"/>
        <v>0.81558808940347394</v>
      </c>
    </row>
    <row r="69" spans="2:11" ht="18.75" customHeight="1" x14ac:dyDescent="0.2"/>
    <row r="70" spans="2:11" ht="15.75" customHeight="1" x14ac:dyDescent="0.2">
      <c r="B70" s="603" t="s">
        <v>48</v>
      </c>
      <c r="C70" s="603"/>
      <c r="D70" s="603"/>
      <c r="E70" s="603"/>
      <c r="F70" s="603"/>
      <c r="G70" s="603"/>
    </row>
    <row r="71" spans="2:11" ht="18.75" customHeight="1" x14ac:dyDescent="0.2">
      <c r="B71" s="604" t="s">
        <v>63</v>
      </c>
      <c r="C71" s="604"/>
      <c r="D71" s="604"/>
      <c r="E71" s="604"/>
      <c r="F71" s="604"/>
      <c r="G71" s="604"/>
    </row>
    <row r="72" spans="2:11" ht="12.75" customHeight="1" x14ac:dyDescent="0.2">
      <c r="B72" s="35"/>
      <c r="C72" s="73" t="s">
        <v>40</v>
      </c>
      <c r="D72" s="78" t="s">
        <v>41</v>
      </c>
      <c r="E72" s="596" t="s">
        <v>46</v>
      </c>
      <c r="F72" s="598" t="s">
        <v>44</v>
      </c>
      <c r="G72" s="34"/>
    </row>
    <row r="73" spans="2:11" ht="12.75" customHeight="1" x14ac:dyDescent="0.2">
      <c r="B73" s="35"/>
      <c r="C73" s="68"/>
      <c r="D73" s="74" t="s">
        <v>34</v>
      </c>
      <c r="E73" s="597"/>
      <c r="F73" s="599"/>
      <c r="G73" s="34"/>
    </row>
    <row r="74" spans="2:11" ht="12.75" customHeight="1" x14ac:dyDescent="0.2">
      <c r="B74" s="122">
        <v>1990</v>
      </c>
      <c r="C74" s="227">
        <f t="shared" ref="C74:F104" si="10">100*C7/$G7</f>
        <v>40.688949539551551</v>
      </c>
      <c r="D74" s="232">
        <f t="shared" si="10"/>
        <v>25.25424495549122</v>
      </c>
      <c r="E74" s="232">
        <f t="shared" si="10"/>
        <v>8.6297661160510994</v>
      </c>
      <c r="F74" s="231">
        <f t="shared" si="10"/>
        <v>25.427039388906124</v>
      </c>
      <c r="G74" s="34"/>
      <c r="K74" s="1"/>
    </row>
    <row r="75" spans="2:11" ht="12.75" customHeight="1" x14ac:dyDescent="0.2">
      <c r="B75" s="71">
        <v>1991</v>
      </c>
      <c r="C75" s="230">
        <f t="shared" si="10"/>
        <v>39.494958850671736</v>
      </c>
      <c r="D75" s="229">
        <f t="shared" si="10"/>
        <v>26.025274314995666</v>
      </c>
      <c r="E75" s="229">
        <f t="shared" si="10"/>
        <v>8.6502012012533704</v>
      </c>
      <c r="F75" s="228">
        <f t="shared" si="10"/>
        <v>25.82956563307922</v>
      </c>
      <c r="G75" s="34"/>
    </row>
    <row r="76" spans="2:11" ht="12.75" customHeight="1" x14ac:dyDescent="0.2">
      <c r="B76" s="71">
        <v>1992</v>
      </c>
      <c r="C76" s="230">
        <f t="shared" si="10"/>
        <v>40.005550996673954</v>
      </c>
      <c r="D76" s="229">
        <f t="shared" si="10"/>
        <v>25.915248244168026</v>
      </c>
      <c r="E76" s="229">
        <f t="shared" si="10"/>
        <v>8.5856914912824962</v>
      </c>
      <c r="F76" s="228">
        <f t="shared" si="10"/>
        <v>25.493509267875513</v>
      </c>
      <c r="G76" s="34"/>
    </row>
    <row r="77" spans="2:11" ht="12.75" customHeight="1" x14ac:dyDescent="0.2">
      <c r="B77" s="71">
        <v>1993</v>
      </c>
      <c r="C77" s="230">
        <f t="shared" si="10"/>
        <v>38.865989702201681</v>
      </c>
      <c r="D77" s="229">
        <f t="shared" si="10"/>
        <v>27.057675445897992</v>
      </c>
      <c r="E77" s="229">
        <f t="shared" si="10"/>
        <v>8.3011899142076508</v>
      </c>
      <c r="F77" s="228">
        <f t="shared" si="10"/>
        <v>25.775144937692694</v>
      </c>
      <c r="G77" s="34"/>
    </row>
    <row r="78" spans="2:11" ht="12.75" customHeight="1" x14ac:dyDescent="0.2">
      <c r="B78" s="71">
        <v>1994</v>
      </c>
      <c r="C78" s="230">
        <f t="shared" si="10"/>
        <v>39.434423900685942</v>
      </c>
      <c r="D78" s="229">
        <f t="shared" si="10"/>
        <v>27.854171332926096</v>
      </c>
      <c r="E78" s="229">
        <f t="shared" si="10"/>
        <v>8.2591782901363437</v>
      </c>
      <c r="F78" s="228">
        <f t="shared" si="10"/>
        <v>24.452226476251621</v>
      </c>
    </row>
    <row r="79" spans="2:11" ht="12.75" customHeight="1" x14ac:dyDescent="0.2">
      <c r="B79" s="71">
        <v>1995</v>
      </c>
      <c r="C79" s="230">
        <f t="shared" si="10"/>
        <v>35.867101987454561</v>
      </c>
      <c r="D79" s="229">
        <f t="shared" si="10"/>
        <v>30.527018369891088</v>
      </c>
      <c r="E79" s="229">
        <f t="shared" si="10"/>
        <v>8.5578584334663574</v>
      </c>
      <c r="F79" s="228">
        <f t="shared" si="10"/>
        <v>25.048021209187983</v>
      </c>
      <c r="G79" s="59"/>
    </row>
    <row r="80" spans="2:11" ht="12.75" customHeight="1" x14ac:dyDescent="0.2">
      <c r="B80" s="71">
        <v>1996</v>
      </c>
      <c r="C80" s="230">
        <f t="shared" si="10"/>
        <v>36.443262121872543</v>
      </c>
      <c r="D80" s="229">
        <f t="shared" si="10"/>
        <v>30.618269880496108</v>
      </c>
      <c r="E80" s="229">
        <f t="shared" si="10"/>
        <v>8.0188356332231994</v>
      </c>
      <c r="F80" s="228">
        <f t="shared" si="10"/>
        <v>24.919632364408145</v>
      </c>
      <c r="G80" s="59"/>
    </row>
    <row r="81" spans="2:7" ht="12.75" customHeight="1" x14ac:dyDescent="0.2">
      <c r="B81" s="71">
        <v>1997</v>
      </c>
      <c r="C81" s="230">
        <f t="shared" si="10"/>
        <v>39.588928071312452</v>
      </c>
      <c r="D81" s="229">
        <f t="shared" si="10"/>
        <v>29.063060638488402</v>
      </c>
      <c r="E81" s="229">
        <f t="shared" si="10"/>
        <v>7.6742086663437759</v>
      </c>
      <c r="F81" s="228">
        <f t="shared" si="10"/>
        <v>23.673802623855376</v>
      </c>
      <c r="G81" s="79"/>
    </row>
    <row r="82" spans="2:7" ht="12.75" customHeight="1" x14ac:dyDescent="0.2">
      <c r="B82" s="71">
        <v>1998</v>
      </c>
      <c r="C82" s="230">
        <f t="shared" si="10"/>
        <v>41.029159335364362</v>
      </c>
      <c r="D82" s="229">
        <f t="shared" si="10"/>
        <v>29.111916145687768</v>
      </c>
      <c r="E82" s="229">
        <f t="shared" si="10"/>
        <v>7.5485663764523245</v>
      </c>
      <c r="F82" s="228">
        <f t="shared" si="10"/>
        <v>22.310358142495542</v>
      </c>
      <c r="G82" s="79"/>
    </row>
    <row r="83" spans="2:7" ht="12.75" customHeight="1" x14ac:dyDescent="0.2">
      <c r="B83" s="71">
        <v>1999</v>
      </c>
      <c r="C83" s="230">
        <f t="shared" si="10"/>
        <v>41.199982013753576</v>
      </c>
      <c r="D83" s="229">
        <f t="shared" si="10"/>
        <v>30.030764380498368</v>
      </c>
      <c r="E83" s="229">
        <f t="shared" si="10"/>
        <v>7.5790053642283617</v>
      </c>
      <c r="F83" s="228">
        <f t="shared" si="10"/>
        <v>21.190248241519694</v>
      </c>
      <c r="G83" s="79"/>
    </row>
    <row r="84" spans="2:7" ht="12.75" customHeight="1" x14ac:dyDescent="0.2">
      <c r="B84" s="71">
        <v>2000</v>
      </c>
      <c r="C84" s="230">
        <f t="shared" si="10"/>
        <v>41.793048642865074</v>
      </c>
      <c r="D84" s="229">
        <f t="shared" si="10"/>
        <v>30.537744986395413</v>
      </c>
      <c r="E84" s="229">
        <f t="shared" si="10"/>
        <v>7.5083552474373523</v>
      </c>
      <c r="F84" s="228">
        <f t="shared" si="10"/>
        <v>20.160851123302152</v>
      </c>
      <c r="G84" s="79"/>
    </row>
    <row r="85" spans="2:7" ht="12.75" customHeight="1" x14ac:dyDescent="0.2">
      <c r="B85" s="71">
        <v>2001</v>
      </c>
      <c r="C85" s="230">
        <f t="shared" si="10"/>
        <v>42.653919952302587</v>
      </c>
      <c r="D85" s="229">
        <f t="shared" si="10"/>
        <v>31.012175968075532</v>
      </c>
      <c r="E85" s="229">
        <f t="shared" si="10"/>
        <v>7.1692119996244594</v>
      </c>
      <c r="F85" s="228">
        <f t="shared" si="10"/>
        <v>19.164692079997437</v>
      </c>
      <c r="G85" s="79"/>
    </row>
    <row r="86" spans="2:7" ht="12.75" customHeight="1" x14ac:dyDescent="0.2">
      <c r="B86" s="71">
        <v>2002</v>
      </c>
      <c r="C86" s="230">
        <f t="shared" si="10"/>
        <v>44.782127587926105</v>
      </c>
      <c r="D86" s="229">
        <f t="shared" si="10"/>
        <v>30.433523567621332</v>
      </c>
      <c r="E86" s="229">
        <f t="shared" si="10"/>
        <v>7.0028924877743242</v>
      </c>
      <c r="F86" s="228">
        <f t="shared" si="10"/>
        <v>17.781456356678234</v>
      </c>
      <c r="G86" s="79"/>
    </row>
    <row r="87" spans="2:7" ht="12.75" customHeight="1" x14ac:dyDescent="0.2">
      <c r="B87" s="71">
        <v>2003</v>
      </c>
      <c r="C87" s="230">
        <f t="shared" si="10"/>
        <v>45.047478956095183</v>
      </c>
      <c r="D87" s="229">
        <f t="shared" si="10"/>
        <v>30.969231902671915</v>
      </c>
      <c r="E87" s="229">
        <f t="shared" si="10"/>
        <v>6.5054913462391681</v>
      </c>
      <c r="F87" s="228">
        <f t="shared" si="10"/>
        <v>17.477797794993744</v>
      </c>
      <c r="G87" s="79"/>
    </row>
    <row r="88" spans="2:7" ht="12.75" customHeight="1" x14ac:dyDescent="0.2">
      <c r="B88" s="71">
        <v>2004</v>
      </c>
      <c r="C88" s="230">
        <f t="shared" si="10"/>
        <v>44.255387081420636</v>
      </c>
      <c r="D88" s="229">
        <f t="shared" si="10"/>
        <v>32.257757974810417</v>
      </c>
      <c r="E88" s="229">
        <f t="shared" si="10"/>
        <v>6.5947792393796378</v>
      </c>
      <c r="F88" s="228">
        <f t="shared" si="10"/>
        <v>16.892075704389306</v>
      </c>
      <c r="G88" s="79"/>
    </row>
    <row r="89" spans="2:7" ht="12.75" customHeight="1" x14ac:dyDescent="0.2">
      <c r="B89" s="71">
        <v>2005</v>
      </c>
      <c r="C89" s="230">
        <f t="shared" si="10"/>
        <v>43.717627426041517</v>
      </c>
      <c r="D89" s="229">
        <f t="shared" si="10"/>
        <v>33.055187928771346</v>
      </c>
      <c r="E89" s="229">
        <f t="shared" si="10"/>
        <v>6.3588386362665137</v>
      </c>
      <c r="F89" s="228">
        <f t="shared" si="10"/>
        <v>16.868346008920625</v>
      </c>
      <c r="G89" s="79"/>
    </row>
    <row r="90" spans="2:7" ht="12.75" customHeight="1" x14ac:dyDescent="0.2">
      <c r="B90" s="71">
        <v>2006</v>
      </c>
      <c r="C90" s="230">
        <f t="shared" si="10"/>
        <v>42.464136347729429</v>
      </c>
      <c r="D90" s="229">
        <f t="shared" si="10"/>
        <v>34.357130065228077</v>
      </c>
      <c r="E90" s="229">
        <f t="shared" si="10"/>
        <v>6.4884671695335125</v>
      </c>
      <c r="F90" s="228">
        <f t="shared" si="10"/>
        <v>16.690266417508987</v>
      </c>
      <c r="G90" s="79"/>
    </row>
    <row r="91" spans="2:7" ht="12.75" customHeight="1" x14ac:dyDescent="0.2">
      <c r="B91" s="71">
        <v>2007</v>
      </c>
      <c r="C91" s="230">
        <f t="shared" si="10"/>
        <v>43.119285595668501</v>
      </c>
      <c r="D91" s="229">
        <f t="shared" si="10"/>
        <v>34.140262087000139</v>
      </c>
      <c r="E91" s="229">
        <f t="shared" si="10"/>
        <v>6.2380261138217756</v>
      </c>
      <c r="F91" s="228">
        <f t="shared" si="10"/>
        <v>16.502426203509593</v>
      </c>
      <c r="G91" s="79"/>
    </row>
    <row r="92" spans="2:7" ht="12.75" customHeight="1" x14ac:dyDescent="0.2">
      <c r="B92" s="71">
        <v>2008</v>
      </c>
      <c r="C92" s="230">
        <f t="shared" si="10"/>
        <v>37.927978770687957</v>
      </c>
      <c r="D92" s="229">
        <f t="shared" si="10"/>
        <v>35.936481770159602</v>
      </c>
      <c r="E92" s="229">
        <f t="shared" si="10"/>
        <v>6.2927666329426417</v>
      </c>
      <c r="F92" s="228">
        <f t="shared" si="10"/>
        <v>19.842772826209806</v>
      </c>
      <c r="G92" s="79"/>
    </row>
    <row r="93" spans="2:7" ht="12.75" customHeight="1" x14ac:dyDescent="0.2">
      <c r="B93" s="71">
        <v>2009</v>
      </c>
      <c r="C93" s="230">
        <f t="shared" si="10"/>
        <v>42.68637430383513</v>
      </c>
      <c r="D93" s="229">
        <f t="shared" si="10"/>
        <v>31.838484387207576</v>
      </c>
      <c r="E93" s="229">
        <f t="shared" si="10"/>
        <v>5.7918166437996117</v>
      </c>
      <c r="F93" s="228">
        <f t="shared" si="10"/>
        <v>19.683324665157684</v>
      </c>
      <c r="G93" s="79"/>
    </row>
    <row r="94" spans="2:7" ht="12.75" customHeight="1" thickBot="1" x14ac:dyDescent="0.25">
      <c r="B94" s="71">
        <v>2010</v>
      </c>
      <c r="C94" s="230">
        <f t="shared" si="10"/>
        <v>38.249321107572207</v>
      </c>
      <c r="D94" s="229">
        <f t="shared" si="10"/>
        <v>35.329430494660734</v>
      </c>
      <c r="E94" s="229">
        <f t="shared" si="10"/>
        <v>6.4482367695044873</v>
      </c>
      <c r="F94" s="276">
        <f t="shared" si="10"/>
        <v>19.973011628262558</v>
      </c>
      <c r="G94" s="79"/>
    </row>
    <row r="95" spans="2:7" ht="12.75" customHeight="1" thickTop="1" thickBot="1" x14ac:dyDescent="0.25">
      <c r="B95" s="71">
        <v>2011</v>
      </c>
      <c r="C95" s="277">
        <f t="shared" si="10"/>
        <v>35.000398251372566</v>
      </c>
      <c r="D95" s="229">
        <f t="shared" si="10"/>
        <v>36.669237407513258</v>
      </c>
      <c r="E95" s="229">
        <f t="shared" si="10"/>
        <v>6.7417174258524213</v>
      </c>
      <c r="F95" s="228">
        <f t="shared" si="10"/>
        <v>21.588646915261762</v>
      </c>
      <c r="G95" s="176"/>
    </row>
    <row r="96" spans="2:7" ht="12.75" customHeight="1" thickTop="1" x14ac:dyDescent="0.2">
      <c r="B96" s="71">
        <v>2012</v>
      </c>
      <c r="C96" s="230">
        <f t="shared" si="10"/>
        <v>38.916944746329399</v>
      </c>
      <c r="D96" s="229">
        <f t="shared" si="10"/>
        <v>36.248303197584818</v>
      </c>
      <c r="E96" s="229">
        <f t="shared" si="10"/>
        <v>6.6981259196742746</v>
      </c>
      <c r="F96" s="228">
        <f t="shared" si="10"/>
        <v>18.136626136411518</v>
      </c>
      <c r="G96" s="176"/>
    </row>
    <row r="97" spans="1:7" ht="12.75" customHeight="1" x14ac:dyDescent="0.2">
      <c r="B97" s="71">
        <v>2013</v>
      </c>
      <c r="C97" s="230">
        <f t="shared" si="10"/>
        <v>41.209267869940611</v>
      </c>
      <c r="D97" s="229">
        <f t="shared" si="10"/>
        <v>35.786094909383465</v>
      </c>
      <c r="E97" s="229">
        <f t="shared" si="10"/>
        <v>6.1705026101256308</v>
      </c>
      <c r="F97" s="228">
        <f t="shared" si="10"/>
        <v>16.834134610550297</v>
      </c>
      <c r="G97" s="176"/>
    </row>
    <row r="98" spans="1:7" ht="13.5" customHeight="1" x14ac:dyDescent="0.2">
      <c r="B98" s="299">
        <v>2014</v>
      </c>
      <c r="C98" s="301">
        <f t="shared" si="10"/>
        <v>39.18875946817338</v>
      </c>
      <c r="D98" s="229">
        <f t="shared" si="10"/>
        <v>37.073906940665054</v>
      </c>
      <c r="E98" s="229">
        <f t="shared" si="10"/>
        <v>6.6219184817387307</v>
      </c>
      <c r="F98" s="228">
        <f t="shared" si="10"/>
        <v>17.11541510942283</v>
      </c>
      <c r="G98" s="176"/>
    </row>
    <row r="99" spans="1:7" x14ac:dyDescent="0.2">
      <c r="B99" s="299">
        <v>2015</v>
      </c>
      <c r="C99" s="301">
        <f t="shared" si="10"/>
        <v>40.361135768711982</v>
      </c>
      <c r="D99" s="229">
        <f t="shared" si="10"/>
        <v>35.327530208063813</v>
      </c>
      <c r="E99" s="229">
        <f t="shared" si="10"/>
        <v>6.3740466572467858</v>
      </c>
      <c r="F99" s="228">
        <f t="shared" si="10"/>
        <v>17.937287365977419</v>
      </c>
      <c r="G99" s="176"/>
    </row>
    <row r="100" spans="1:7" x14ac:dyDescent="0.2">
      <c r="A100" s="314"/>
      <c r="B100" s="353">
        <v>2016</v>
      </c>
      <c r="C100" s="301">
        <f t="shared" si="10"/>
        <v>42.749358888302922</v>
      </c>
      <c r="D100" s="229">
        <f t="shared" si="10"/>
        <v>32.887212257002695</v>
      </c>
      <c r="E100" s="229">
        <f t="shared" si="10"/>
        <v>6.3224412670411985</v>
      </c>
      <c r="F100" s="228">
        <f t="shared" si="10"/>
        <v>18.040987587653188</v>
      </c>
      <c r="G100" s="176"/>
    </row>
    <row r="101" spans="1:7" x14ac:dyDescent="0.2">
      <c r="A101" s="314"/>
      <c r="B101" s="71">
        <v>2017</v>
      </c>
      <c r="C101" s="301">
        <f t="shared" si="10"/>
        <v>45.193807262629868</v>
      </c>
      <c r="D101" s="229">
        <f t="shared" si="10"/>
        <v>31.989985081484956</v>
      </c>
      <c r="E101" s="229">
        <f t="shared" si="10"/>
        <v>5.9526561835834801</v>
      </c>
      <c r="F101" s="228">
        <f t="shared" si="10"/>
        <v>16.863551472301701</v>
      </c>
      <c r="G101" s="176"/>
    </row>
    <row r="102" spans="1:7" x14ac:dyDescent="0.2">
      <c r="A102" s="314"/>
      <c r="B102" s="71">
        <v>2018</v>
      </c>
      <c r="C102" s="301">
        <f t="shared" si="10"/>
        <v>44.009081056556639</v>
      </c>
      <c r="D102" s="229">
        <f t="shared" si="10"/>
        <v>32.506140904744377</v>
      </c>
      <c r="E102" s="229">
        <f t="shared" si="10"/>
        <v>5.9593012995540562</v>
      </c>
      <c r="F102" s="228">
        <f t="shared" si="10"/>
        <v>17.525476739144924</v>
      </c>
      <c r="G102" s="176"/>
    </row>
    <row r="103" spans="1:7" x14ac:dyDescent="0.2">
      <c r="A103" s="314"/>
      <c r="B103" s="71">
        <v>2019</v>
      </c>
      <c r="C103" s="301">
        <f t="shared" si="10"/>
        <v>45.200217012479875</v>
      </c>
      <c r="D103" s="476">
        <f t="shared" si="10"/>
        <v>30.817583917566839</v>
      </c>
      <c r="E103" s="476">
        <f t="shared" si="10"/>
        <v>5.5597948901303571</v>
      </c>
      <c r="F103" s="477">
        <f t="shared" si="10"/>
        <v>18.422404179822934</v>
      </c>
      <c r="G103" s="400"/>
    </row>
    <row r="104" spans="1:7" x14ac:dyDescent="0.2">
      <c r="B104" s="444">
        <v>2020</v>
      </c>
      <c r="C104" s="312">
        <f>100*C37/$G37</f>
        <v>47.832295200894514</v>
      </c>
      <c r="D104" s="458">
        <f t="shared" si="10"/>
        <v>28.379176466574943</v>
      </c>
      <c r="E104" s="458">
        <f t="shared" si="10"/>
        <v>5.5306609955626147</v>
      </c>
      <c r="F104" s="459">
        <f t="shared" si="10"/>
        <v>18.257867336967937</v>
      </c>
    </row>
  </sheetData>
  <mergeCells count="15">
    <mergeCell ref="B41:G41"/>
    <mergeCell ref="B2:G2"/>
    <mergeCell ref="B3:G3"/>
    <mergeCell ref="D5:D6"/>
    <mergeCell ref="E5:E6"/>
    <mergeCell ref="B4:G4"/>
    <mergeCell ref="F5:F6"/>
    <mergeCell ref="B40:G40"/>
    <mergeCell ref="E72:E73"/>
    <mergeCell ref="F72:F73"/>
    <mergeCell ref="B42:G42"/>
    <mergeCell ref="E43:E44"/>
    <mergeCell ref="F43:F44"/>
    <mergeCell ref="B70:G70"/>
    <mergeCell ref="B71:G71"/>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AB46"/>
  <sheetViews>
    <sheetView zoomScaleNormal="100" workbookViewId="0">
      <selection activeCell="C39" sqref="C39:L39"/>
    </sheetView>
  </sheetViews>
  <sheetFormatPr defaultRowHeight="12.75" x14ac:dyDescent="0.2"/>
  <cols>
    <col min="1" max="1" width="20.28515625" customWidth="1"/>
    <col min="2" max="2" width="9.7109375" customWidth="1"/>
    <col min="3" max="17" width="6.7109375" customWidth="1"/>
    <col min="22" max="22" width="9.85546875" customWidth="1"/>
    <col min="25" max="25" width="8.42578125" customWidth="1"/>
  </cols>
  <sheetData>
    <row r="1" spans="2:14" ht="14.25" customHeight="1" x14ac:dyDescent="0.2">
      <c r="B1" s="539"/>
      <c r="C1" s="539"/>
      <c r="F1" s="19"/>
      <c r="N1" s="19" t="s">
        <v>75</v>
      </c>
    </row>
    <row r="2" spans="2:14" ht="12.75" customHeight="1" x14ac:dyDescent="0.2"/>
    <row r="3" spans="2:14" ht="12.75" customHeight="1" x14ac:dyDescent="0.2"/>
    <row r="4" spans="2:14" ht="12.75" customHeight="1" x14ac:dyDescent="0.2"/>
    <row r="5" spans="2:14" ht="12.75" customHeight="1" x14ac:dyDescent="0.2"/>
    <row r="6" spans="2:14" ht="12.75" customHeight="1" x14ac:dyDescent="0.2"/>
    <row r="7" spans="2:14" ht="12.75" customHeight="1" x14ac:dyDescent="0.2"/>
    <row r="8" spans="2:14" ht="12.75" customHeight="1" x14ac:dyDescent="0.2"/>
    <row r="9" spans="2:14" ht="12.75" customHeight="1" x14ac:dyDescent="0.2"/>
    <row r="10" spans="2:14" ht="12.75" customHeight="1" x14ac:dyDescent="0.2"/>
    <row r="11" spans="2:14" ht="12.75" customHeight="1" x14ac:dyDescent="0.2"/>
    <row r="12" spans="2:14" ht="12.75" customHeight="1" x14ac:dyDescent="0.2"/>
    <row r="13" spans="2:14" ht="12.75" customHeight="1" x14ac:dyDescent="0.2"/>
    <row r="14" spans="2:14" ht="12.75" customHeight="1" x14ac:dyDescent="0.2"/>
    <row r="15" spans="2:14" ht="12.75" customHeight="1" x14ac:dyDescent="0.2"/>
    <row r="16" spans="2:14" ht="12.75" customHeight="1" x14ac:dyDescent="0.2"/>
    <row r="17" spans="2:2" ht="12.75" customHeight="1" x14ac:dyDescent="0.2"/>
    <row r="18" spans="2:2" ht="12.75" customHeight="1" x14ac:dyDescent="0.2"/>
    <row r="19" spans="2:2" ht="12.75" customHeight="1" x14ac:dyDescent="0.2"/>
    <row r="20" spans="2:2" ht="12.75" customHeight="1" x14ac:dyDescent="0.2"/>
    <row r="21" spans="2:2" ht="12.75" customHeight="1" x14ac:dyDescent="0.2"/>
    <row r="22" spans="2:2" ht="12.75" customHeight="1" x14ac:dyDescent="0.2"/>
    <row r="23" spans="2:2" ht="12.75" customHeight="1" x14ac:dyDescent="0.2"/>
    <row r="24" spans="2:2" ht="12.75" customHeight="1" x14ac:dyDescent="0.2"/>
    <row r="25" spans="2:2" ht="12.75" customHeight="1" x14ac:dyDescent="0.2"/>
    <row r="26" spans="2:2" ht="12.75" customHeight="1" x14ac:dyDescent="0.2"/>
    <row r="27" spans="2:2" ht="12.75" customHeight="1" x14ac:dyDescent="0.2"/>
    <row r="28" spans="2:2" ht="12.75" customHeight="1" x14ac:dyDescent="0.2"/>
    <row r="29" spans="2:2" ht="12.75" customHeight="1" x14ac:dyDescent="0.2"/>
    <row r="30" spans="2:2" ht="12.75" customHeight="1" x14ac:dyDescent="0.2"/>
    <row r="31" spans="2:2" ht="12.75" customHeight="1" x14ac:dyDescent="0.2"/>
    <row r="32" spans="2:2" ht="15" customHeight="1" x14ac:dyDescent="0.2">
      <c r="B32" s="11" t="s">
        <v>92</v>
      </c>
    </row>
    <row r="34" spans="2:28" x14ac:dyDescent="0.2">
      <c r="M34">
        <v>844.47159043293618</v>
      </c>
      <c r="N34">
        <v>842.96922864308556</v>
      </c>
      <c r="O34">
        <v>842.92936030820431</v>
      </c>
      <c r="P34">
        <v>841.12354145165079</v>
      </c>
      <c r="Q34">
        <v>769.75738605850768</v>
      </c>
      <c r="R34">
        <v>834.1007088793217</v>
      </c>
      <c r="S34">
        <v>850.14405701893202</v>
      </c>
      <c r="T34">
        <v>838.4227312987116</v>
      </c>
      <c r="U34">
        <v>850.98288633212314</v>
      </c>
      <c r="V34">
        <v>875.1199084423539</v>
      </c>
      <c r="W34">
        <v>870.77096504305496</v>
      </c>
      <c r="X34">
        <v>909.32038268673398</v>
      </c>
      <c r="Y34">
        <v>916.98868892735209</v>
      </c>
      <c r="Z34">
        <v>976.97412232437159</v>
      </c>
      <c r="AA34">
        <v>979.0761622168684</v>
      </c>
      <c r="AB34">
        <v>924.28546977723113</v>
      </c>
    </row>
    <row r="35" spans="2:28" x14ac:dyDescent="0.2">
      <c r="C35" s="304" t="s">
        <v>115</v>
      </c>
      <c r="M35">
        <v>844.47159043293618</v>
      </c>
      <c r="N35">
        <v>842.96922864308556</v>
      </c>
      <c r="O35">
        <v>842.92936030820431</v>
      </c>
      <c r="P35">
        <v>841.12354145165079</v>
      </c>
      <c r="Q35">
        <v>769.75738605850768</v>
      </c>
      <c r="R35">
        <v>834.1007088793217</v>
      </c>
      <c r="S35">
        <v>850.14405701893202</v>
      </c>
      <c r="T35">
        <v>838.4227312987116</v>
      </c>
      <c r="U35">
        <v>850.98288633212314</v>
      </c>
      <c r="V35">
        <v>875.1199084423539</v>
      </c>
      <c r="W35">
        <v>870.77096504305496</v>
      </c>
      <c r="X35">
        <v>909.32038268673398</v>
      </c>
      <c r="Y35">
        <v>916.98868892735209</v>
      </c>
      <c r="Z35">
        <v>976.97412232437159</v>
      </c>
      <c r="AA35">
        <v>979.0761622168684</v>
      </c>
      <c r="AB35">
        <v>924.28546977723113</v>
      </c>
    </row>
    <row r="37" spans="2:28" x14ac:dyDescent="0.2">
      <c r="C37" s="414">
        <v>1995</v>
      </c>
      <c r="D37" s="415">
        <v>1996</v>
      </c>
      <c r="E37" s="415">
        <v>1997</v>
      </c>
      <c r="F37" s="415">
        <v>1998</v>
      </c>
      <c r="G37" s="415">
        <v>1999</v>
      </c>
      <c r="H37" s="415">
        <v>2000</v>
      </c>
      <c r="I37" s="415">
        <v>2001</v>
      </c>
      <c r="J37" s="415">
        <v>2002</v>
      </c>
      <c r="K37" s="415">
        <v>2003</v>
      </c>
      <c r="L37" s="415">
        <v>2004</v>
      </c>
      <c r="M37" s="415">
        <v>2005</v>
      </c>
      <c r="N37" s="415">
        <v>2006</v>
      </c>
      <c r="O37" s="415">
        <v>2007</v>
      </c>
      <c r="P37" s="415">
        <v>2008</v>
      </c>
      <c r="Q37" s="415">
        <v>2009</v>
      </c>
      <c r="R37" s="415">
        <v>2010</v>
      </c>
      <c r="S37" s="415">
        <v>2011</v>
      </c>
      <c r="T37" s="415">
        <v>2012</v>
      </c>
      <c r="U37" s="415">
        <v>2013</v>
      </c>
      <c r="V37" s="415">
        <v>2014</v>
      </c>
      <c r="W37" s="415">
        <v>2015</v>
      </c>
      <c r="X37" s="415">
        <v>2016</v>
      </c>
      <c r="Y37" s="416">
        <v>2017</v>
      </c>
      <c r="Z37" s="62">
        <v>2018</v>
      </c>
      <c r="AA37" s="62">
        <v>2019</v>
      </c>
      <c r="AB37" s="62">
        <v>2020</v>
      </c>
    </row>
    <row r="38" spans="2:28" x14ac:dyDescent="0.2">
      <c r="B38" s="407" t="s">
        <v>40</v>
      </c>
      <c r="C38" s="511">
        <v>1127.1600000000001</v>
      </c>
      <c r="D38" s="511">
        <v>1136.3789999999997</v>
      </c>
      <c r="E38" s="511">
        <v>1182.4780000000001</v>
      </c>
      <c r="F38" s="511">
        <v>1242.2039999999997</v>
      </c>
      <c r="G38" s="511">
        <v>1294.3619999999999</v>
      </c>
      <c r="H38" s="511">
        <v>1343.867</v>
      </c>
      <c r="I38" s="511">
        <v>1389.2530000000002</v>
      </c>
      <c r="J38" s="511">
        <v>1438.8</v>
      </c>
      <c r="K38" s="511">
        <v>1440.54</v>
      </c>
      <c r="L38" s="511">
        <v>1588.2660000000001</v>
      </c>
      <c r="M38" s="412">
        <f>road_ter!C7</f>
        <v>1588.1540655743293</v>
      </c>
      <c r="N38" s="412">
        <f>road_ter!D7</f>
        <v>1638.7945822386714</v>
      </c>
      <c r="O38" s="412">
        <f>road_ter!E7</f>
        <v>1697.6440389755346</v>
      </c>
      <c r="P38" s="412">
        <f>road_ter!F7</f>
        <v>1676.4616408826394</v>
      </c>
      <c r="Q38" s="412">
        <f>road_ter!G7</f>
        <v>1515.3165860635595</v>
      </c>
      <c r="R38" s="412">
        <f>road_ter!H7</f>
        <v>1558.2925344262567</v>
      </c>
      <c r="S38" s="412">
        <f>road_ter!I7</f>
        <v>1541.6311993737638</v>
      </c>
      <c r="T38" s="412">
        <f>road_ter!J7</f>
        <v>1481.6904120467425</v>
      </c>
      <c r="U38" s="412">
        <f>road_ter!K7</f>
        <v>1516.3640398284499</v>
      </c>
      <c r="V38" s="412">
        <f>road_ter!L7</f>
        <v>1527.4346235799926</v>
      </c>
      <c r="W38" s="412">
        <f>road_ter!M7</f>
        <v>1561.9876827709111</v>
      </c>
      <c r="X38" s="412">
        <f>road_ter!N7</f>
        <v>1619.7477300951773</v>
      </c>
      <c r="Y38" s="412">
        <f>road_ter!O7</f>
        <v>1707.3138634168388</v>
      </c>
      <c r="Z38" s="412">
        <f>road_ter!P7</f>
        <v>1707.4960000000001</v>
      </c>
      <c r="AA38" s="412">
        <f>road_ter!Q7</f>
        <v>1764.787</v>
      </c>
      <c r="AB38" s="412">
        <f>road_ter!R7</f>
        <v>1744.9860000000001</v>
      </c>
    </row>
    <row r="39" spans="2:28" x14ac:dyDescent="0.2">
      <c r="B39" s="410" t="s">
        <v>39</v>
      </c>
      <c r="C39" s="412">
        <v>676.52776233698114</v>
      </c>
      <c r="D39" s="412">
        <v>684.79249939868953</v>
      </c>
      <c r="E39" s="412">
        <v>704.27366532985911</v>
      </c>
      <c r="F39" s="412">
        <v>727.29686143033223</v>
      </c>
      <c r="G39" s="412">
        <v>748.54904244615363</v>
      </c>
      <c r="H39" s="412">
        <v>775.70460707748077</v>
      </c>
      <c r="I39" s="412">
        <v>787.51137430849258</v>
      </c>
      <c r="J39" s="412">
        <v>799.90847990105499</v>
      </c>
      <c r="K39" s="412">
        <v>813.48626221671861</v>
      </c>
      <c r="L39" s="440">
        <v>842.4128419326978</v>
      </c>
      <c r="M39" s="412">
        <v>844.47159043293618</v>
      </c>
      <c r="N39" s="412">
        <v>842.96922864308556</v>
      </c>
      <c r="O39" s="412">
        <v>842.92936030820431</v>
      </c>
      <c r="P39" s="412">
        <v>841.12354145165079</v>
      </c>
      <c r="Q39" s="412">
        <v>769.75738605850768</v>
      </c>
      <c r="R39" s="412">
        <v>834.1007088793217</v>
      </c>
      <c r="S39" s="412">
        <v>850.14405701893202</v>
      </c>
      <c r="T39" s="412">
        <v>838.4227312987116</v>
      </c>
      <c r="U39" s="412">
        <v>850.98288633212314</v>
      </c>
      <c r="V39" s="412">
        <v>875.1199084423539</v>
      </c>
      <c r="W39" s="412">
        <v>870.77096504305496</v>
      </c>
      <c r="X39" s="412">
        <v>909.32038268673398</v>
      </c>
      <c r="Y39" s="412">
        <v>916.98868892735209</v>
      </c>
      <c r="Z39" s="412">
        <v>976.97412232437159</v>
      </c>
      <c r="AA39" s="412">
        <v>979.0761622168684</v>
      </c>
      <c r="AB39" s="412">
        <v>924.28546977723113</v>
      </c>
    </row>
    <row r="40" spans="2:28" x14ac:dyDescent="0.2">
      <c r="B40" s="410" t="s">
        <v>41</v>
      </c>
      <c r="C40" s="412">
        <f>rail_tkm!J7</f>
        <v>374.81806800000004</v>
      </c>
      <c r="D40" s="412">
        <f>rail_tkm!K7</f>
        <v>378.76300000000009</v>
      </c>
      <c r="E40" s="412">
        <f>rail_tkm!L7</f>
        <v>394.35199999999992</v>
      </c>
      <c r="F40" s="412">
        <f>rail_tkm!M7</f>
        <v>377.03752500000002</v>
      </c>
      <c r="G40" s="412">
        <f>rail_tkm!N7</f>
        <v>367.11001500293986</v>
      </c>
      <c r="H40" s="412">
        <f>rail_tkm!O7</f>
        <v>387.9207546422241</v>
      </c>
      <c r="I40" s="412">
        <f>rail_tkm!P7</f>
        <v>369.25330225225701</v>
      </c>
      <c r="J40" s="412">
        <f>rail_tkm!Q7</f>
        <v>368.16119255303101</v>
      </c>
      <c r="K40" s="412">
        <f>rail_tkm!R7</f>
        <v>376.30926875462399</v>
      </c>
      <c r="L40" s="412">
        <f>rail_tkm!S7</f>
        <v>390.03499999999997</v>
      </c>
      <c r="M40" s="412">
        <f>rail_tkm!T7</f>
        <v>394.59700000000004</v>
      </c>
      <c r="N40" s="412">
        <f>rail_tkm!U7</f>
        <v>416.24600000000004</v>
      </c>
      <c r="O40" s="412">
        <f>rail_tkm!V7</f>
        <v>430.72400000000005</v>
      </c>
      <c r="P40" s="412">
        <f>rail_tkm!W7</f>
        <v>421.68599999999992</v>
      </c>
      <c r="Q40" s="412">
        <f>rail_tkm!X7</f>
        <v>344.36900000000003</v>
      </c>
      <c r="R40" s="412">
        <f>rail_tkm!Y7</f>
        <v>374.95499999999998</v>
      </c>
      <c r="S40" s="412">
        <f>rail_tkm!Z7</f>
        <v>401.12199999999984</v>
      </c>
      <c r="T40" s="412">
        <f>rail_tkm!AA7</f>
        <v>385.18899999999996</v>
      </c>
      <c r="U40" s="412">
        <f>rail_tkm!AB7</f>
        <v>384.31900000000007</v>
      </c>
      <c r="V40" s="412">
        <f>rail_tkm!AC7</f>
        <v>388.93199999999996</v>
      </c>
      <c r="W40" s="412">
        <f>rail_tkm!AD7</f>
        <v>398.51700000000011</v>
      </c>
      <c r="X40" s="412">
        <f>rail_tkm!AE7</f>
        <v>407.45800000000008</v>
      </c>
      <c r="Y40" s="412">
        <f>rail_tkm!AF7</f>
        <v>411.27800000000002</v>
      </c>
      <c r="Z40" s="412">
        <f>rail_tkm!AG7</f>
        <v>418.31399999999996</v>
      </c>
      <c r="AA40" s="412">
        <f>rail_tkm!AH7</f>
        <v>407.92099999999999</v>
      </c>
      <c r="AB40" s="412">
        <f>rail_tkm!AI7</f>
        <v>377.30700000000007</v>
      </c>
    </row>
    <row r="41" spans="2:28" ht="22.5" x14ac:dyDescent="0.2">
      <c r="B41" s="410" t="s">
        <v>45</v>
      </c>
      <c r="C41" s="412">
        <f>iww!J6</f>
        <v>121.91820799999999</v>
      </c>
      <c r="D41" s="412">
        <f>iww!K6</f>
        <v>119.59849199999999</v>
      </c>
      <c r="E41" s="412">
        <f>iww!L6</f>
        <v>127.72012699999998</v>
      </c>
      <c r="F41" s="412">
        <f>iww!M6</f>
        <v>130.914354551</v>
      </c>
      <c r="G41" s="412">
        <f>iww!N6</f>
        <v>128.618899</v>
      </c>
      <c r="H41" s="412">
        <f>iww!O6</f>
        <v>133.7148856</v>
      </c>
      <c r="I41" s="412">
        <f>iww!P6</f>
        <v>132.4162436</v>
      </c>
      <c r="J41" s="412">
        <f>iww!Q6</f>
        <v>132.41402299999999</v>
      </c>
      <c r="K41" s="412">
        <f>iww!R6</f>
        <v>123.43508519999999</v>
      </c>
      <c r="L41" s="412">
        <f>iww!S6</f>
        <v>136.76315100000005</v>
      </c>
      <c r="M41" s="412">
        <f>iww!T6</f>
        <v>138.61097439999998</v>
      </c>
      <c r="N41" s="412">
        <f>iww!U6</f>
        <v>138.41696909999999</v>
      </c>
      <c r="O41" s="412">
        <f>iww!V6</f>
        <v>145.40199999999999</v>
      </c>
      <c r="P41" s="412">
        <f>iww!W6</f>
        <v>146.90300000000002</v>
      </c>
      <c r="Q41" s="412">
        <f>iww!X6</f>
        <v>132.60600000000002</v>
      </c>
      <c r="R41" s="412">
        <f>iww!Y6</f>
        <v>155.36499999999998</v>
      </c>
      <c r="S41" s="412">
        <f>iww!Z6</f>
        <v>141.82500000000002</v>
      </c>
      <c r="T41" s="412">
        <f>iww!AA6</f>
        <v>149.822</v>
      </c>
      <c r="U41" s="412">
        <f>iww!AB6</f>
        <v>152.58400000000003</v>
      </c>
      <c r="V41" s="412">
        <f>iww!AC6</f>
        <v>150.70699999999997</v>
      </c>
      <c r="W41" s="412">
        <f>iww!AD6</f>
        <v>147.35100000000003</v>
      </c>
      <c r="X41" s="412">
        <f>iww!AE6</f>
        <v>146.60899999999995</v>
      </c>
      <c r="Y41" s="412">
        <f>iww!AF6</f>
        <v>147.22333333333333</v>
      </c>
      <c r="Z41" s="412">
        <f>iww!AG6</f>
        <v>131.30277777777778</v>
      </c>
      <c r="AA41" s="412">
        <f>iww!AH6</f>
        <v>139.69700000000003</v>
      </c>
      <c r="AB41" s="412">
        <f>iww!AI6</f>
        <v>131.74100000000001</v>
      </c>
    </row>
    <row r="42" spans="2:28" x14ac:dyDescent="0.2">
      <c r="B42" s="410" t="s">
        <v>64</v>
      </c>
      <c r="C42" s="412">
        <f>pipeline!J6</f>
        <v>103.81029999999998</v>
      </c>
      <c r="D42" s="412">
        <f>pipeline!K6</f>
        <v>107.7071</v>
      </c>
      <c r="E42" s="412">
        <f>pipeline!L6</f>
        <v>107.66900000000001</v>
      </c>
      <c r="F42" s="412">
        <f>pipeline!M6</f>
        <v>114.67399999999999</v>
      </c>
      <c r="G42" s="412">
        <f>pipeline!N6</f>
        <v>113.21399999999998</v>
      </c>
      <c r="H42" s="412">
        <f>pipeline!O6</f>
        <v>115.68269999999998</v>
      </c>
      <c r="I42" s="412">
        <f>pipeline!P6</f>
        <v>122.3753</v>
      </c>
      <c r="J42" s="412">
        <f>pipeline!Q6</f>
        <v>118.79659999999998</v>
      </c>
      <c r="K42" s="412">
        <f>pipeline!R6</f>
        <v>121.20380000000002</v>
      </c>
      <c r="L42" s="412">
        <f>pipeline!S6</f>
        <v>122.60236060000001</v>
      </c>
      <c r="M42" s="412">
        <f>pipeline!T6</f>
        <v>126.80850379999998</v>
      </c>
      <c r="N42" s="412">
        <f>pipeline!U6</f>
        <v>125.78924979999998</v>
      </c>
      <c r="O42" s="412">
        <f>pipeline!V6</f>
        <v>118.22248842182226</v>
      </c>
      <c r="P42" s="412">
        <f>pipeline!W6</f>
        <v>114.76496585313126</v>
      </c>
      <c r="Q42" s="412">
        <f>pipeline!X6</f>
        <v>111.63421473696151</v>
      </c>
      <c r="R42" s="412">
        <f>pipeline!Y6</f>
        <v>110.96844560300448</v>
      </c>
      <c r="S42" s="412">
        <f>pipeline!Z6</f>
        <v>108.27031897026802</v>
      </c>
      <c r="T42" s="412">
        <f>pipeline!AA6</f>
        <v>104.98250906969668</v>
      </c>
      <c r="U42" s="412">
        <f>pipeline!AB6</f>
        <v>102.0834831637049</v>
      </c>
      <c r="V42" s="412">
        <f>pipeline!AC6</f>
        <v>101.08568894404827</v>
      </c>
      <c r="W42" s="412">
        <f>pipeline!AD6</f>
        <v>104.14976966869865</v>
      </c>
      <c r="X42" s="412">
        <f>pipeline!AE6</f>
        <v>104.6967429921506</v>
      </c>
      <c r="Y42" s="412">
        <f>pipeline!AF6</f>
        <v>104.02069553496584</v>
      </c>
      <c r="Z42" s="412">
        <f>pipeline!AG6</f>
        <v>104.11186199860504</v>
      </c>
      <c r="AA42" s="412">
        <f>pipeline!AH6</f>
        <v>101.00951657524053</v>
      </c>
      <c r="AB42" s="412">
        <f>pipeline!AI6</f>
        <v>91.725137702937118</v>
      </c>
    </row>
    <row r="43" spans="2:28" x14ac:dyDescent="0.2">
      <c r="B43" s="411" t="s">
        <v>42</v>
      </c>
      <c r="C43" s="418">
        <v>1.4182255053453219</v>
      </c>
      <c r="D43" s="418">
        <v>1.4607722705056818</v>
      </c>
      <c r="E43" s="418">
        <v>1.5458658008264012</v>
      </c>
      <c r="F43" s="418">
        <v>1.5955036935134874</v>
      </c>
      <c r="G43" s="418">
        <v>1.6309593311471202</v>
      </c>
      <c r="H43" s="418">
        <v>1.7373262440480199</v>
      </c>
      <c r="I43" s="418">
        <v>1.7444173715747466</v>
      </c>
      <c r="J43" s="418">
        <v>1.7018706064143865</v>
      </c>
      <c r="K43" s="418">
        <v>1.7160528614678396</v>
      </c>
      <c r="L43" s="418">
        <v>1.7798730092083788</v>
      </c>
      <c r="M43" s="418">
        <v>1.8295109018954654</v>
      </c>
      <c r="N43" s="418">
        <v>1.8862399221092783</v>
      </c>
      <c r="O43" s="418">
        <v>1.9500600698498178</v>
      </c>
      <c r="P43" s="413">
        <v>1.9093614708340243</v>
      </c>
      <c r="Q43" s="413">
        <v>1.8066757761372345</v>
      </c>
      <c r="R43" s="413">
        <v>1.8374578508108661</v>
      </c>
      <c r="S43" s="413">
        <v>1.8527510970101833</v>
      </c>
      <c r="T43" s="413">
        <v>1.8226662887517358</v>
      </c>
      <c r="U43" s="413">
        <v>1.8346995275945124</v>
      </c>
      <c r="V43" s="413">
        <v>2.1144167610581874</v>
      </c>
      <c r="W43" s="413">
        <v>2.1423488006047902</v>
      </c>
      <c r="X43" s="413">
        <v>2.1499892983036877</v>
      </c>
      <c r="Y43" s="402">
        <v>2.1719834611324687</v>
      </c>
      <c r="Z43" s="402">
        <v>2.216132601925827</v>
      </c>
      <c r="AA43" s="402">
        <v>2.3225078439893458</v>
      </c>
      <c r="AB43" s="402">
        <v>2.0623147846096219</v>
      </c>
    </row>
    <row r="44" spans="2:28" ht="12" customHeight="1" x14ac:dyDescent="0.2">
      <c r="B44" s="128" t="s">
        <v>43</v>
      </c>
      <c r="C44" s="417">
        <f>SUM(C38:C43)</f>
        <v>2405.6525638423268</v>
      </c>
      <c r="D44" s="417">
        <f t="shared" ref="D44:AB44" si="0">SUM(D38:D43)</f>
        <v>2428.7008636691949</v>
      </c>
      <c r="E44" s="417">
        <f t="shared" si="0"/>
        <v>2518.0386581306857</v>
      </c>
      <c r="F44" s="417">
        <f t="shared" si="0"/>
        <v>2593.7222446748456</v>
      </c>
      <c r="G44" s="417">
        <f t="shared" si="0"/>
        <v>2653.4849157802405</v>
      </c>
      <c r="H44" s="417">
        <f t="shared" si="0"/>
        <v>2758.6272735637522</v>
      </c>
      <c r="I44" s="417">
        <f t="shared" si="0"/>
        <v>2802.553637532325</v>
      </c>
      <c r="J44" s="417">
        <f t="shared" si="0"/>
        <v>2859.7821660605005</v>
      </c>
      <c r="K44" s="417">
        <f t="shared" si="0"/>
        <v>2876.6904690328101</v>
      </c>
      <c r="L44" s="417">
        <f t="shared" si="0"/>
        <v>3081.8592265419061</v>
      </c>
      <c r="M44" s="417">
        <f t="shared" si="0"/>
        <v>3094.4716451091608</v>
      </c>
      <c r="N44" s="417">
        <f t="shared" si="0"/>
        <v>3164.1022697038666</v>
      </c>
      <c r="O44" s="417">
        <f t="shared" si="0"/>
        <v>3236.8719477754112</v>
      </c>
      <c r="P44" s="417">
        <f t="shared" si="0"/>
        <v>3202.8485096582554</v>
      </c>
      <c r="Q44" s="417">
        <f t="shared" si="0"/>
        <v>2875.489862635166</v>
      </c>
      <c r="R44" s="417">
        <f t="shared" si="0"/>
        <v>3035.5191467593936</v>
      </c>
      <c r="S44" s="417">
        <f t="shared" si="0"/>
        <v>3044.8453264599739</v>
      </c>
      <c r="T44" s="417">
        <f t="shared" si="0"/>
        <v>2961.9293187039025</v>
      </c>
      <c r="U44" s="417">
        <f t="shared" si="0"/>
        <v>3008.1681088518726</v>
      </c>
      <c r="V44" s="417">
        <f t="shared" si="0"/>
        <v>3045.3936377274526</v>
      </c>
      <c r="W44" s="417">
        <f t="shared" si="0"/>
        <v>3084.9187662832701</v>
      </c>
      <c r="X44" s="417">
        <f t="shared" si="0"/>
        <v>3189.9818450723656</v>
      </c>
      <c r="Y44" s="417">
        <f t="shared" si="0"/>
        <v>3288.9965646736232</v>
      </c>
      <c r="Z44" s="417">
        <f t="shared" si="0"/>
        <v>3340.4148947026806</v>
      </c>
      <c r="AA44" s="417">
        <f t="shared" si="0"/>
        <v>3394.8131866360986</v>
      </c>
      <c r="AB44" s="417">
        <f t="shared" si="0"/>
        <v>3272.1069222647779</v>
      </c>
    </row>
    <row r="45" spans="2:28" hidden="1" x14ac:dyDescent="0.2"/>
    <row r="46" spans="2:28" x14ac:dyDescent="0.2">
      <c r="C46" s="505"/>
      <c r="D46" s="506"/>
      <c r="E46" s="506"/>
      <c r="F46" s="506"/>
      <c r="G46" s="506"/>
      <c r="H46" s="506"/>
      <c r="I46" s="506"/>
      <c r="J46" s="506"/>
      <c r="K46" s="506"/>
      <c r="L46" s="506"/>
      <c r="M46" s="504"/>
      <c r="N46" s="504"/>
      <c r="O46" s="504"/>
      <c r="P46" s="504"/>
      <c r="Q46" s="504"/>
      <c r="R46" s="504"/>
      <c r="S46" s="504"/>
      <c r="T46" s="504"/>
      <c r="U46" s="504"/>
      <c r="V46" s="504"/>
      <c r="W46" s="504"/>
      <c r="X46" s="504"/>
      <c r="Y46" s="504"/>
      <c r="Z46" s="504"/>
      <c r="AA46" s="504"/>
      <c r="AB46" s="504"/>
    </row>
  </sheetData>
  <mergeCells count="1">
    <mergeCell ref="B1:C1"/>
  </mergeCells>
  <phoneticPr fontId="5" type="noConversion"/>
  <printOptions horizontalCentered="1"/>
  <pageMargins left="0.6692913385826772" right="0.27559055118110237" top="0.51181102362204722" bottom="0.27559055118110237" header="0" footer="0"/>
  <pageSetup paperSize="9" scale="7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J76"/>
  <sheetViews>
    <sheetView zoomScaleNormal="100" workbookViewId="0">
      <selection activeCell="L39" sqref="L39"/>
    </sheetView>
  </sheetViews>
  <sheetFormatPr defaultRowHeight="12.75" x14ac:dyDescent="0.2"/>
  <cols>
    <col min="2" max="2" width="7.85546875" customWidth="1"/>
    <col min="3" max="6" width="6.7109375" customWidth="1"/>
    <col min="7" max="7" width="7.140625" customWidth="1"/>
    <col min="8" max="8" width="6" customWidth="1"/>
    <col min="9" max="9" width="6.7109375" customWidth="1"/>
  </cols>
  <sheetData>
    <row r="1" spans="1:10" ht="14.25" customHeight="1" x14ac:dyDescent="0.2">
      <c r="B1" s="31"/>
      <c r="C1" s="31"/>
      <c r="D1" s="31"/>
      <c r="E1" s="31"/>
      <c r="F1" s="31"/>
      <c r="G1" s="31"/>
      <c r="H1" s="31"/>
      <c r="I1" s="20" t="s">
        <v>76</v>
      </c>
    </row>
    <row r="2" spans="1:10" s="80" customFormat="1" ht="30" customHeight="1" x14ac:dyDescent="0.2">
      <c r="A2"/>
      <c r="B2" s="546" t="s">
        <v>126</v>
      </c>
      <c r="C2" s="546"/>
      <c r="D2" s="546"/>
      <c r="E2" s="546"/>
      <c r="F2" s="546"/>
      <c r="G2" s="546"/>
      <c r="H2" s="546"/>
      <c r="I2" s="546"/>
    </row>
    <row r="3" spans="1:10" ht="15" customHeight="1" x14ac:dyDescent="0.2">
      <c r="B3" s="537" t="s">
        <v>127</v>
      </c>
      <c r="C3" s="537"/>
      <c r="D3" s="537"/>
      <c r="E3" s="537"/>
      <c r="F3" s="537"/>
      <c r="G3" s="537"/>
      <c r="H3" s="537"/>
      <c r="I3" s="537"/>
    </row>
    <row r="4" spans="1:10" ht="12" customHeight="1" x14ac:dyDescent="0.2">
      <c r="B4" s="554" t="s">
        <v>98</v>
      </c>
      <c r="C4" s="555"/>
      <c r="D4" s="555"/>
      <c r="E4" s="555"/>
      <c r="F4" s="555"/>
      <c r="G4" s="555"/>
      <c r="H4" s="555"/>
      <c r="I4" s="555"/>
    </row>
    <row r="5" spans="1:10" s="25" customFormat="1" ht="12" customHeight="1" x14ac:dyDescent="0.2">
      <c r="A5"/>
      <c r="B5" s="4"/>
      <c r="C5" s="548" t="s">
        <v>40</v>
      </c>
      <c r="D5" s="551" t="s">
        <v>41</v>
      </c>
      <c r="E5" s="551" t="s">
        <v>46</v>
      </c>
      <c r="F5" s="551" t="s">
        <v>69</v>
      </c>
      <c r="G5" s="368"/>
      <c r="H5" s="367"/>
      <c r="I5" s="556" t="s">
        <v>43</v>
      </c>
    </row>
    <row r="6" spans="1:10" s="25" customFormat="1" ht="12" customHeight="1" x14ac:dyDescent="0.2">
      <c r="A6"/>
      <c r="B6" s="4"/>
      <c r="C6" s="549"/>
      <c r="D6" s="552"/>
      <c r="E6" s="552"/>
      <c r="F6" s="552"/>
      <c r="G6" s="362" t="s">
        <v>39</v>
      </c>
      <c r="H6" s="371" t="s">
        <v>42</v>
      </c>
      <c r="I6" s="557"/>
    </row>
    <row r="7" spans="1:10" s="25" customFormat="1" ht="12" customHeight="1" x14ac:dyDescent="0.2">
      <c r="A7"/>
      <c r="B7" s="32"/>
      <c r="C7" s="550"/>
      <c r="D7" s="553"/>
      <c r="E7" s="553"/>
      <c r="F7" s="553"/>
      <c r="G7" s="370"/>
      <c r="H7" s="369"/>
      <c r="I7" s="552"/>
      <c r="J7" s="521"/>
    </row>
    <row r="8" spans="1:10" s="25" customFormat="1" ht="12" customHeight="1" x14ac:dyDescent="0.2">
      <c r="A8"/>
      <c r="B8" s="111">
        <v>1995</v>
      </c>
      <c r="C8" s="397">
        <v>1127.1600000000001</v>
      </c>
      <c r="D8" s="154">
        <v>374.81806800000004</v>
      </c>
      <c r="E8" s="186">
        <v>121.91820799999999</v>
      </c>
      <c r="F8" s="144">
        <v>103.81029999999998</v>
      </c>
      <c r="G8" s="144">
        <v>676.52776233698114</v>
      </c>
      <c r="H8" s="374">
        <v>1.4182255053453219</v>
      </c>
      <c r="I8" s="378">
        <f>SUM(C8:H8)</f>
        <v>2405.6525638423263</v>
      </c>
      <c r="J8" s="521"/>
    </row>
    <row r="9" spans="1:10" s="25" customFormat="1" ht="12.75" customHeight="1" x14ac:dyDescent="0.2">
      <c r="A9"/>
      <c r="B9" s="112">
        <v>1996</v>
      </c>
      <c r="C9" s="153">
        <v>1136.3789999999997</v>
      </c>
      <c r="D9" s="154">
        <v>378.76300000000009</v>
      </c>
      <c r="E9" s="154">
        <v>119.59849199999999</v>
      </c>
      <c r="F9" s="141">
        <v>107.7071</v>
      </c>
      <c r="G9" s="141">
        <v>684.79249939868953</v>
      </c>
      <c r="H9" s="377">
        <v>1.4607722705056818</v>
      </c>
      <c r="I9" s="378">
        <f t="shared" ref="I9:I33" si="0">SUM(C9:H9)</f>
        <v>2428.7008636691949</v>
      </c>
      <c r="J9" s="521"/>
    </row>
    <row r="10" spans="1:10" s="25" customFormat="1" ht="12.75" customHeight="1" x14ac:dyDescent="0.2">
      <c r="A10"/>
      <c r="B10" s="112">
        <v>1997</v>
      </c>
      <c r="C10" s="153">
        <v>1182.4780000000001</v>
      </c>
      <c r="D10" s="154">
        <v>394.35199999999992</v>
      </c>
      <c r="E10" s="154">
        <v>127.72012699999998</v>
      </c>
      <c r="F10" s="141">
        <v>107.66900000000001</v>
      </c>
      <c r="G10" s="141">
        <v>704.27366532985911</v>
      </c>
      <c r="H10" s="377">
        <v>1.5458658008264012</v>
      </c>
      <c r="I10" s="378">
        <f t="shared" si="0"/>
        <v>2518.0386581306857</v>
      </c>
      <c r="J10" s="521"/>
    </row>
    <row r="11" spans="1:10" s="26" customFormat="1" ht="12.75" customHeight="1" x14ac:dyDescent="0.2">
      <c r="A11"/>
      <c r="B11" s="112">
        <v>1998</v>
      </c>
      <c r="C11" s="153">
        <v>1242.2039999999997</v>
      </c>
      <c r="D11" s="154">
        <v>377.03752500000002</v>
      </c>
      <c r="E11" s="154">
        <v>130.914354551</v>
      </c>
      <c r="F11" s="141">
        <v>114.67399999999999</v>
      </c>
      <c r="G11" s="141">
        <v>727.29686143033223</v>
      </c>
      <c r="H11" s="377">
        <v>1.5955036935134874</v>
      </c>
      <c r="I11" s="378">
        <f t="shared" si="0"/>
        <v>2593.7222446748451</v>
      </c>
      <c r="J11" s="522"/>
    </row>
    <row r="12" spans="1:10" s="26" customFormat="1" ht="12.75" customHeight="1" x14ac:dyDescent="0.2">
      <c r="A12"/>
      <c r="B12" s="112">
        <v>1999</v>
      </c>
      <c r="C12" s="153">
        <v>1294.3619999999999</v>
      </c>
      <c r="D12" s="154">
        <v>367.11001500293986</v>
      </c>
      <c r="E12" s="154">
        <v>128.618899</v>
      </c>
      <c r="F12" s="141">
        <v>113.21399999999998</v>
      </c>
      <c r="G12" s="141">
        <v>748.54904244615363</v>
      </c>
      <c r="H12" s="377">
        <v>1.6309593311471202</v>
      </c>
      <c r="I12" s="378">
        <f t="shared" si="0"/>
        <v>2653.4849157802405</v>
      </c>
      <c r="J12" s="522"/>
    </row>
    <row r="13" spans="1:10" s="26" customFormat="1" ht="12.75" customHeight="1" x14ac:dyDescent="0.2">
      <c r="A13"/>
      <c r="B13" s="112">
        <v>2000</v>
      </c>
      <c r="C13" s="153">
        <v>1343.867</v>
      </c>
      <c r="D13" s="154">
        <v>387.9207546422241</v>
      </c>
      <c r="E13" s="154">
        <v>133.7148856</v>
      </c>
      <c r="F13" s="141">
        <v>115.68269999999998</v>
      </c>
      <c r="G13" s="141">
        <v>775.70460707748077</v>
      </c>
      <c r="H13" s="377">
        <v>1.7373262440480199</v>
      </c>
      <c r="I13" s="378">
        <f t="shared" si="0"/>
        <v>2758.6272735637526</v>
      </c>
      <c r="J13" s="522"/>
    </row>
    <row r="14" spans="1:10" s="26" customFormat="1" ht="12.75" customHeight="1" x14ac:dyDescent="0.2">
      <c r="A14"/>
      <c r="B14" s="112">
        <v>2001</v>
      </c>
      <c r="C14" s="153">
        <v>1389.2530000000002</v>
      </c>
      <c r="D14" s="154">
        <v>369.25330225225701</v>
      </c>
      <c r="E14" s="154">
        <v>132.4162436</v>
      </c>
      <c r="F14" s="141">
        <v>122.3753</v>
      </c>
      <c r="G14" s="141">
        <v>787.51137430849258</v>
      </c>
      <c r="H14" s="377">
        <v>1.7444173715747466</v>
      </c>
      <c r="I14" s="378">
        <f t="shared" si="0"/>
        <v>2802.5536375323245</v>
      </c>
      <c r="J14" s="522"/>
    </row>
    <row r="15" spans="1:10" s="26" customFormat="1" ht="12.75" customHeight="1" x14ac:dyDescent="0.2">
      <c r="A15"/>
      <c r="B15" s="112">
        <v>2002</v>
      </c>
      <c r="C15" s="153">
        <v>1438.8</v>
      </c>
      <c r="D15" s="154">
        <v>368.16119255303101</v>
      </c>
      <c r="E15" s="154">
        <v>132.41402299999999</v>
      </c>
      <c r="F15" s="141">
        <v>118.79659999999998</v>
      </c>
      <c r="G15" s="141">
        <v>799.90847990105499</v>
      </c>
      <c r="H15" s="377">
        <v>1.7018706064143865</v>
      </c>
      <c r="I15" s="378">
        <f t="shared" si="0"/>
        <v>2859.7821660605005</v>
      </c>
      <c r="J15" s="522"/>
    </row>
    <row r="16" spans="1:10" s="26" customFormat="1" ht="12.75" customHeight="1" x14ac:dyDescent="0.2">
      <c r="A16"/>
      <c r="B16" s="112">
        <v>2003</v>
      </c>
      <c r="C16" s="153">
        <v>1440.54</v>
      </c>
      <c r="D16" s="154">
        <v>376.30926875462399</v>
      </c>
      <c r="E16" s="154">
        <v>123.43508519999999</v>
      </c>
      <c r="F16" s="141">
        <v>121.20380000000002</v>
      </c>
      <c r="G16" s="141">
        <v>813.48626221671861</v>
      </c>
      <c r="H16" s="377">
        <v>1.7160528614678396</v>
      </c>
      <c r="I16" s="378">
        <f t="shared" si="0"/>
        <v>2876.6904690328101</v>
      </c>
      <c r="J16" s="522"/>
    </row>
    <row r="17" spans="1:10" s="26" customFormat="1" ht="12.75" customHeight="1" thickBot="1" x14ac:dyDescent="0.25">
      <c r="A17"/>
      <c r="B17" s="112">
        <v>2004</v>
      </c>
      <c r="C17" s="153">
        <v>1588.2660000000001</v>
      </c>
      <c r="D17" s="154">
        <v>390.03499999999997</v>
      </c>
      <c r="E17" s="154">
        <v>136.76315100000005</v>
      </c>
      <c r="F17" s="141">
        <v>122.60236060000001</v>
      </c>
      <c r="G17" s="141">
        <v>842.4128419326978</v>
      </c>
      <c r="H17" s="377">
        <v>1.7798730092083788</v>
      </c>
      <c r="I17" s="378">
        <f t="shared" si="0"/>
        <v>3081.8592265419061</v>
      </c>
      <c r="J17" s="522"/>
    </row>
    <row r="18" spans="1:10" s="26" customFormat="1" ht="12.75" customHeight="1" thickTop="1" x14ac:dyDescent="0.2">
      <c r="A18"/>
      <c r="B18" s="112">
        <v>2005</v>
      </c>
      <c r="C18" s="375">
        <v>1588.1540655743293</v>
      </c>
      <c r="D18" s="154">
        <v>394.59700000000004</v>
      </c>
      <c r="E18" s="154">
        <v>138.61097439999998</v>
      </c>
      <c r="F18" s="141">
        <v>126.80850379999998</v>
      </c>
      <c r="G18" s="442">
        <v>844.47159043293618</v>
      </c>
      <c r="H18" s="377">
        <v>1.8295109018954654</v>
      </c>
      <c r="I18" s="378">
        <f t="shared" si="0"/>
        <v>3094.4716451091608</v>
      </c>
      <c r="J18" s="522"/>
    </row>
    <row r="19" spans="1:10" s="26" customFormat="1" ht="12.75" customHeight="1" x14ac:dyDescent="0.2">
      <c r="A19"/>
      <c r="B19" s="112">
        <v>2006</v>
      </c>
      <c r="C19" s="153">
        <v>1638.7945822386714</v>
      </c>
      <c r="D19" s="154">
        <v>416.24600000000004</v>
      </c>
      <c r="E19" s="154">
        <v>138.41696909999999</v>
      </c>
      <c r="F19" s="141">
        <v>125.78924979999998</v>
      </c>
      <c r="G19" s="141">
        <v>842.96922864308556</v>
      </c>
      <c r="H19" s="377">
        <v>1.8862399221092783</v>
      </c>
      <c r="I19" s="378">
        <f t="shared" si="0"/>
        <v>3164.1022697038666</v>
      </c>
      <c r="J19" s="522"/>
    </row>
    <row r="20" spans="1:10" s="26" customFormat="1" ht="12.75" customHeight="1" thickBot="1" x14ac:dyDescent="0.25">
      <c r="A20"/>
      <c r="B20" s="112">
        <v>2007</v>
      </c>
      <c r="C20" s="153">
        <v>1697.6440389755346</v>
      </c>
      <c r="D20" s="154">
        <v>430.72400000000005</v>
      </c>
      <c r="E20" s="154">
        <v>145.40199999999999</v>
      </c>
      <c r="F20" s="141">
        <v>118.22248842182226</v>
      </c>
      <c r="G20" s="141">
        <v>842.92936030820431</v>
      </c>
      <c r="H20" s="377">
        <v>1.9500600698498178</v>
      </c>
      <c r="I20" s="378">
        <f t="shared" si="0"/>
        <v>3236.8719477754107</v>
      </c>
      <c r="J20" s="522"/>
    </row>
    <row r="21" spans="1:10" s="26" customFormat="1" ht="12.75" customHeight="1" thickTop="1" x14ac:dyDescent="0.2">
      <c r="A21"/>
      <c r="B21" s="112">
        <v>2008</v>
      </c>
      <c r="C21" s="153">
        <v>1676.4616408826394</v>
      </c>
      <c r="D21" s="154">
        <v>421.68599999999992</v>
      </c>
      <c r="E21" s="154">
        <v>146.90300000000002</v>
      </c>
      <c r="F21" s="141">
        <v>114.76496585313126</v>
      </c>
      <c r="G21" s="141">
        <v>841.12354145165079</v>
      </c>
      <c r="H21" s="441">
        <v>1.9093614708340243</v>
      </c>
      <c r="I21" s="378">
        <f t="shared" si="0"/>
        <v>3202.8485096582558</v>
      </c>
      <c r="J21" s="522"/>
    </row>
    <row r="22" spans="1:10" s="26" customFormat="1" ht="12.75" customHeight="1" x14ac:dyDescent="0.2">
      <c r="A22"/>
      <c r="B22" s="112">
        <v>2009</v>
      </c>
      <c r="C22" s="153">
        <v>1515.3165860635595</v>
      </c>
      <c r="D22" s="154">
        <v>344.36900000000003</v>
      </c>
      <c r="E22" s="154">
        <v>132.60600000000002</v>
      </c>
      <c r="F22" s="141">
        <v>111.63421473696151</v>
      </c>
      <c r="G22" s="141">
        <v>769.75738605850768</v>
      </c>
      <c r="H22" s="377">
        <v>1.8066757761372345</v>
      </c>
      <c r="I22" s="378">
        <f t="shared" si="0"/>
        <v>2875.489862635166</v>
      </c>
      <c r="J22" s="522"/>
    </row>
    <row r="23" spans="1:10" s="26" customFormat="1" ht="12.75" customHeight="1" x14ac:dyDescent="0.2">
      <c r="A23"/>
      <c r="B23" s="112">
        <v>2010</v>
      </c>
      <c r="C23" s="153">
        <v>1558.2925344262567</v>
      </c>
      <c r="D23" s="154">
        <v>374.95499999999998</v>
      </c>
      <c r="E23" s="154">
        <v>155.36499999999998</v>
      </c>
      <c r="F23" s="141">
        <v>110.96844560300448</v>
      </c>
      <c r="G23" s="141">
        <v>834.1007088793217</v>
      </c>
      <c r="H23" s="377">
        <v>1.8374578508108661</v>
      </c>
      <c r="I23" s="378">
        <f t="shared" si="0"/>
        <v>3035.5191467593936</v>
      </c>
      <c r="J23" s="522"/>
    </row>
    <row r="24" spans="1:10" s="26" customFormat="1" ht="12.75" customHeight="1" x14ac:dyDescent="0.2">
      <c r="A24"/>
      <c r="B24" s="112">
        <v>2011</v>
      </c>
      <c r="C24" s="153">
        <v>1541.6311993737638</v>
      </c>
      <c r="D24" s="141">
        <v>401.12199999999984</v>
      </c>
      <c r="E24" s="154">
        <v>141.82500000000002</v>
      </c>
      <c r="F24" s="141">
        <v>108.27031897026802</v>
      </c>
      <c r="G24" s="141">
        <v>850.14405701893202</v>
      </c>
      <c r="H24" s="377">
        <v>1.8527510970101833</v>
      </c>
      <c r="I24" s="378">
        <f t="shared" si="0"/>
        <v>3044.8453264599739</v>
      </c>
      <c r="J24" s="522"/>
    </row>
    <row r="25" spans="1:10" s="26" customFormat="1" ht="12.75" customHeight="1" x14ac:dyDescent="0.2">
      <c r="A25"/>
      <c r="B25" s="112">
        <v>2012</v>
      </c>
      <c r="C25" s="153">
        <v>1481.6904120467425</v>
      </c>
      <c r="D25" s="141">
        <v>385.18899999999996</v>
      </c>
      <c r="E25" s="154">
        <v>149.822</v>
      </c>
      <c r="F25" s="141">
        <v>104.98250906969668</v>
      </c>
      <c r="G25" s="141">
        <v>838.4227312987116</v>
      </c>
      <c r="H25" s="377">
        <v>1.8226662887517358</v>
      </c>
      <c r="I25" s="378">
        <f t="shared" si="0"/>
        <v>2961.9293187039029</v>
      </c>
      <c r="J25" s="522"/>
    </row>
    <row r="26" spans="1:10" s="26" customFormat="1" ht="12.75" customHeight="1" x14ac:dyDescent="0.2">
      <c r="A26"/>
      <c r="B26" s="112">
        <v>2013</v>
      </c>
      <c r="C26" s="153">
        <v>1516.3640398284499</v>
      </c>
      <c r="D26" s="141">
        <v>384.31900000000007</v>
      </c>
      <c r="E26" s="154">
        <v>152.58400000000003</v>
      </c>
      <c r="F26" s="141">
        <v>102.0834831637049</v>
      </c>
      <c r="G26" s="141">
        <v>850.98288633212314</v>
      </c>
      <c r="H26" s="377">
        <v>1.8346995275945124</v>
      </c>
      <c r="I26" s="378">
        <f t="shared" si="0"/>
        <v>3008.1681088518726</v>
      </c>
      <c r="J26" s="522"/>
    </row>
    <row r="27" spans="1:10" s="26" customFormat="1" ht="12.75" customHeight="1" x14ac:dyDescent="0.2">
      <c r="A27"/>
      <c r="B27" s="112">
        <v>2014</v>
      </c>
      <c r="C27" s="153">
        <v>1527.4346235799926</v>
      </c>
      <c r="D27" s="141">
        <v>388.93199999999996</v>
      </c>
      <c r="E27" s="154">
        <v>150.70699999999997</v>
      </c>
      <c r="F27" s="141">
        <v>101.08568894404827</v>
      </c>
      <c r="G27" s="141">
        <v>875.1199084423539</v>
      </c>
      <c r="H27" s="377">
        <v>2.1144167610581874</v>
      </c>
      <c r="I27" s="378">
        <f t="shared" si="0"/>
        <v>3045.3936377274531</v>
      </c>
      <c r="J27" s="522"/>
    </row>
    <row r="28" spans="1:10" s="26" customFormat="1" ht="12.75" customHeight="1" x14ac:dyDescent="0.2">
      <c r="A28"/>
      <c r="B28" s="112">
        <v>2015</v>
      </c>
      <c r="C28" s="153">
        <v>1561.9876827709111</v>
      </c>
      <c r="D28" s="141">
        <v>398.51700000000011</v>
      </c>
      <c r="E28" s="154">
        <v>147.35100000000003</v>
      </c>
      <c r="F28" s="141">
        <v>104.14976966869865</v>
      </c>
      <c r="G28" s="141">
        <v>870.77096504305496</v>
      </c>
      <c r="H28" s="377">
        <v>2.1423488006047902</v>
      </c>
      <c r="I28" s="378">
        <f t="shared" si="0"/>
        <v>3084.9187662832701</v>
      </c>
      <c r="J28" s="522"/>
    </row>
    <row r="29" spans="1:10" s="26" customFormat="1" ht="12.75" customHeight="1" x14ac:dyDescent="0.2">
      <c r="A29"/>
      <c r="B29" s="112">
        <v>2016</v>
      </c>
      <c r="C29" s="153">
        <v>1619.7477300951773</v>
      </c>
      <c r="D29" s="141">
        <v>407.45800000000008</v>
      </c>
      <c r="E29" s="154">
        <v>146.60899999999995</v>
      </c>
      <c r="F29" s="141">
        <v>104.6967429921506</v>
      </c>
      <c r="G29" s="141">
        <v>909.32038268673398</v>
      </c>
      <c r="H29" s="377">
        <v>2.1499892983036877</v>
      </c>
      <c r="I29" s="378">
        <f t="shared" si="0"/>
        <v>3189.9818450723656</v>
      </c>
      <c r="J29" s="522"/>
    </row>
    <row r="30" spans="1:10" s="26" customFormat="1" ht="15.75" customHeight="1" x14ac:dyDescent="0.2">
      <c r="A30"/>
      <c r="B30" s="112">
        <v>2017</v>
      </c>
      <c r="C30" s="153">
        <v>1707.3138634168388</v>
      </c>
      <c r="D30" s="141">
        <v>411.27800000000002</v>
      </c>
      <c r="E30" s="154">
        <v>147.22333333333333</v>
      </c>
      <c r="F30" s="141">
        <v>104.02069553496584</v>
      </c>
      <c r="G30" s="141">
        <v>916.98868892735209</v>
      </c>
      <c r="H30" s="377">
        <v>2.1719834611324687</v>
      </c>
      <c r="I30" s="378">
        <f t="shared" si="0"/>
        <v>3288.9965646736227</v>
      </c>
      <c r="J30" s="522"/>
    </row>
    <row r="31" spans="1:10" s="33" customFormat="1" ht="17.25" customHeight="1" x14ac:dyDescent="0.2">
      <c r="A31"/>
      <c r="B31" s="112">
        <v>2018</v>
      </c>
      <c r="C31" s="153">
        <v>1707.4960000000001</v>
      </c>
      <c r="D31" s="141">
        <v>418.31399999999996</v>
      </c>
      <c r="E31" s="154">
        <v>131.30277777777778</v>
      </c>
      <c r="F31" s="141">
        <v>104.11186199860504</v>
      </c>
      <c r="G31" s="141">
        <v>976.97412232437159</v>
      </c>
      <c r="H31" s="377">
        <v>2.216132601925827</v>
      </c>
      <c r="I31" s="378">
        <f t="shared" si="0"/>
        <v>3340.4148947026806</v>
      </c>
      <c r="J31" s="523"/>
    </row>
    <row r="32" spans="1:10" s="33" customFormat="1" ht="14.25" customHeight="1" x14ac:dyDescent="0.2">
      <c r="A32"/>
      <c r="B32" s="112">
        <v>2019</v>
      </c>
      <c r="C32" s="153">
        <v>1764.787</v>
      </c>
      <c r="D32" s="141">
        <v>407.92099999999999</v>
      </c>
      <c r="E32" s="154">
        <v>139.69700000000003</v>
      </c>
      <c r="F32" s="141">
        <v>101.00951657524053</v>
      </c>
      <c r="G32" s="141">
        <v>979.0761622168684</v>
      </c>
      <c r="H32" s="377">
        <v>2.3225078439893458</v>
      </c>
      <c r="I32" s="378">
        <f t="shared" si="0"/>
        <v>3394.8131866360986</v>
      </c>
      <c r="J32" s="523"/>
    </row>
    <row r="33" spans="1:10" s="33" customFormat="1" ht="15" customHeight="1" x14ac:dyDescent="0.2">
      <c r="A33"/>
      <c r="B33" s="112">
        <v>2020</v>
      </c>
      <c r="C33" s="153">
        <v>1744.9860000000001</v>
      </c>
      <c r="D33" s="141">
        <v>377.30700000000007</v>
      </c>
      <c r="E33" s="154">
        <v>131.74100000000001</v>
      </c>
      <c r="F33" s="146">
        <v>91.725137702937118</v>
      </c>
      <c r="G33" s="146">
        <v>924.28546977723113</v>
      </c>
      <c r="H33" s="377">
        <v>2.0623147846096219</v>
      </c>
      <c r="I33" s="378">
        <f t="shared" si="0"/>
        <v>3272.1069222647779</v>
      </c>
      <c r="J33" s="523"/>
    </row>
    <row r="34" spans="1:10" s="26" customFormat="1" ht="23.1" customHeight="1" x14ac:dyDescent="0.2">
      <c r="A34"/>
      <c r="B34" s="142" t="s">
        <v>152</v>
      </c>
      <c r="C34" s="110">
        <f>C33/C8-1</f>
        <v>0.5481262642393272</v>
      </c>
      <c r="D34" s="366">
        <f t="shared" ref="D34:I34" si="1">D33/D8-1</f>
        <v>6.6403735905282701E-3</v>
      </c>
      <c r="E34" s="366">
        <f t="shared" si="1"/>
        <v>8.0568703896960248E-2</v>
      </c>
      <c r="F34" s="108">
        <f t="shared" si="1"/>
        <v>-0.11641583057811089</v>
      </c>
      <c r="G34" s="108">
        <f t="shared" si="1"/>
        <v>0.3662195718094432</v>
      </c>
      <c r="H34" s="366">
        <f t="shared" si="1"/>
        <v>0.45415152726891028</v>
      </c>
      <c r="I34" s="317">
        <f t="shared" si="1"/>
        <v>0.36017435412142151</v>
      </c>
    </row>
    <row r="35" spans="1:10" s="33" customFormat="1" ht="23.1" customHeight="1" x14ac:dyDescent="0.2">
      <c r="A35"/>
      <c r="B35" s="77" t="s">
        <v>47</v>
      </c>
      <c r="C35" s="109">
        <f>(POWER((C33/C8), 1/25) -1)</f>
        <v>1.7635514769945404E-2</v>
      </c>
      <c r="D35" s="365">
        <f t="shared" ref="D35:I35" si="2">(POWER((D33/D8), 1/25) -1)</f>
        <v>2.6477198302576888E-4</v>
      </c>
      <c r="E35" s="365">
        <f t="shared" si="2"/>
        <v>3.1043076232868394E-3</v>
      </c>
      <c r="F35" s="365">
        <f t="shared" si="2"/>
        <v>-4.9385141850706304E-3</v>
      </c>
      <c r="G35" s="365">
        <f t="shared" si="2"/>
        <v>1.2560123588605254E-2</v>
      </c>
      <c r="H35" s="365">
        <f t="shared" si="2"/>
        <v>1.5089619338094495E-2</v>
      </c>
      <c r="I35" s="318">
        <f t="shared" si="2"/>
        <v>1.2380527720893264E-2</v>
      </c>
    </row>
    <row r="36" spans="1:10" s="33" customFormat="1" ht="23.1" customHeight="1" x14ac:dyDescent="0.2">
      <c r="A36"/>
      <c r="B36" s="142" t="s">
        <v>153</v>
      </c>
      <c r="C36" s="110">
        <f>C33/C13-1</f>
        <v>0.29848117410428276</v>
      </c>
      <c r="D36" s="366">
        <f t="shared" ref="D36:I36" si="3">D33/D13-1</f>
        <v>-2.7360625888689594E-2</v>
      </c>
      <c r="E36" s="366">
        <f t="shared" si="3"/>
        <v>-1.4761898730592748E-2</v>
      </c>
      <c r="F36" s="108">
        <f t="shared" si="3"/>
        <v>-0.20709719168953411</v>
      </c>
      <c r="G36" s="108">
        <f t="shared" si="3"/>
        <v>0.19154309687490279</v>
      </c>
      <c r="H36" s="366">
        <f t="shared" si="3"/>
        <v>0.18706247123992625</v>
      </c>
      <c r="I36" s="317">
        <f t="shared" si="3"/>
        <v>0.18613592840966975</v>
      </c>
    </row>
    <row r="37" spans="1:10" s="33" customFormat="1" ht="20.25" customHeight="1" x14ac:dyDescent="0.2">
      <c r="A37"/>
      <c r="B37" s="77" t="s">
        <v>47</v>
      </c>
      <c r="C37" s="109">
        <f>(POWER((C33/C13), 1/20) -1)</f>
        <v>1.3145413847324372E-2</v>
      </c>
      <c r="D37" s="365">
        <f t="shared" ref="D37:I37" si="4">(POWER((D33/D13), 1/20) -1)</f>
        <v>-1.3861333523162989E-3</v>
      </c>
      <c r="E37" s="365">
        <f t="shared" si="4"/>
        <v>-7.4332059248538584E-4</v>
      </c>
      <c r="F37" s="365">
        <f t="shared" si="4"/>
        <v>-1.1535679236836516E-2</v>
      </c>
      <c r="G37" s="365">
        <f t="shared" si="4"/>
        <v>8.8009620829088142E-3</v>
      </c>
      <c r="H37" s="365">
        <f t="shared" si="4"/>
        <v>8.6109499532078804E-3</v>
      </c>
      <c r="I37" s="318">
        <f t="shared" si="4"/>
        <v>8.5715725859685232E-3</v>
      </c>
    </row>
    <row r="38" spans="1:10" ht="22.5" customHeight="1" x14ac:dyDescent="0.2">
      <c r="B38" s="143" t="s">
        <v>154</v>
      </c>
      <c r="C38" s="109">
        <f>C33/C32-1</f>
        <v>-1.1220050918326119E-2</v>
      </c>
      <c r="D38" s="365">
        <f t="shared" ref="D38:I38" si="5">D33/D32-1</f>
        <v>-7.504884524209321E-2</v>
      </c>
      <c r="E38" s="365">
        <f t="shared" si="5"/>
        <v>-5.6951831463811109E-2</v>
      </c>
      <c r="F38" s="496">
        <f t="shared" si="5"/>
        <v>-9.191588265237971E-2</v>
      </c>
      <c r="G38" s="496">
        <f t="shared" si="5"/>
        <v>-5.5961624390463927E-2</v>
      </c>
      <c r="H38" s="365">
        <f t="shared" si="5"/>
        <v>-0.11203107884139296</v>
      </c>
      <c r="I38" s="318">
        <f t="shared" si="5"/>
        <v>-3.6145218492246278E-2</v>
      </c>
    </row>
    <row r="39" spans="1:10" ht="15" customHeight="1" x14ac:dyDescent="0.2">
      <c r="C39" s="108"/>
      <c r="D39" s="108"/>
      <c r="E39" s="108"/>
      <c r="F39" s="108"/>
      <c r="G39" s="108"/>
      <c r="H39" s="108"/>
      <c r="I39" s="130"/>
    </row>
    <row r="40" spans="1:10" ht="11.25" customHeight="1" x14ac:dyDescent="0.2">
      <c r="B40" s="558" t="s">
        <v>48</v>
      </c>
      <c r="C40" s="558"/>
      <c r="D40" s="558"/>
      <c r="E40" s="558"/>
      <c r="F40" s="558"/>
      <c r="G40" s="558"/>
      <c r="H40" s="558"/>
      <c r="I40" s="558"/>
    </row>
    <row r="41" spans="1:10" ht="12.75" customHeight="1" x14ac:dyDescent="0.2">
      <c r="B41" s="547" t="s">
        <v>49</v>
      </c>
      <c r="C41" s="547"/>
      <c r="D41" s="547"/>
      <c r="E41" s="547"/>
      <c r="F41" s="547"/>
      <c r="G41" s="547"/>
      <c r="H41" s="547"/>
      <c r="I41" s="547"/>
    </row>
    <row r="42" spans="1:10" ht="15.75" customHeight="1" x14ac:dyDescent="0.2">
      <c r="B42" s="4"/>
      <c r="C42" s="542" t="s">
        <v>40</v>
      </c>
      <c r="D42" s="542" t="s">
        <v>41</v>
      </c>
      <c r="E42" s="542" t="s">
        <v>46</v>
      </c>
      <c r="F42" s="542" t="s">
        <v>69</v>
      </c>
      <c r="G42" s="545" t="s">
        <v>39</v>
      </c>
      <c r="H42" s="542" t="s">
        <v>42</v>
      </c>
      <c r="I42" s="34"/>
    </row>
    <row r="43" spans="1:10" x14ac:dyDescent="0.2">
      <c r="B43" s="4"/>
      <c r="C43" s="543"/>
      <c r="D43" s="543"/>
      <c r="E43" s="543"/>
      <c r="F43" s="543"/>
      <c r="G43" s="543"/>
      <c r="H43" s="543"/>
      <c r="I43" s="34"/>
    </row>
    <row r="44" spans="1:10" ht="12.75" customHeight="1" x14ac:dyDescent="0.2">
      <c r="B44" s="4"/>
      <c r="C44" s="544"/>
      <c r="D44" s="544"/>
      <c r="E44" s="544"/>
      <c r="F44" s="544"/>
      <c r="G44" s="544"/>
      <c r="H44" s="544"/>
      <c r="I44" s="34"/>
    </row>
    <row r="45" spans="1:10" ht="12.75" customHeight="1" x14ac:dyDescent="0.2">
      <c r="B45" s="113">
        <v>1995</v>
      </c>
      <c r="C45" s="141">
        <f t="shared" ref="C45:H45" si="6">C8/$I8*100</f>
        <v>46.854646300199384</v>
      </c>
      <c r="D45" s="141">
        <f t="shared" si="6"/>
        <v>15.580723236332092</v>
      </c>
      <c r="E45" s="141">
        <f t="shared" si="6"/>
        <v>5.067989028526684</v>
      </c>
      <c r="F45" s="141">
        <f t="shared" si="6"/>
        <v>4.3152657021342016</v>
      </c>
      <c r="G45" s="141">
        <f t="shared" si="6"/>
        <v>28.122421853653961</v>
      </c>
      <c r="H45" s="105">
        <f t="shared" si="6"/>
        <v>5.8953879153692976E-2</v>
      </c>
      <c r="I45" s="34"/>
    </row>
    <row r="46" spans="1:10" ht="12.75" customHeight="1" x14ac:dyDescent="0.2">
      <c r="B46" s="56">
        <v>1996</v>
      </c>
      <c r="C46" s="141">
        <f t="shared" ref="C46:H70" si="7">C9/$I9*100</f>
        <v>46.789582735322895</v>
      </c>
      <c r="D46" s="141">
        <f t="shared" si="7"/>
        <v>15.595292350157047</v>
      </c>
      <c r="E46" s="141">
        <f t="shared" si="7"/>
        <v>4.9243813344437504</v>
      </c>
      <c r="F46" s="141">
        <f t="shared" si="7"/>
        <v>4.4347618766553225</v>
      </c>
      <c r="G46" s="141">
        <f t="shared" si="7"/>
        <v>28.195835462590868</v>
      </c>
      <c r="H46" s="106">
        <f t="shared" si="7"/>
        <v>6.0146240830120143E-2</v>
      </c>
      <c r="I46" s="29"/>
    </row>
    <row r="47" spans="1:10" ht="12.75" customHeight="1" x14ac:dyDescent="0.2">
      <c r="B47" s="56">
        <v>1997</v>
      </c>
      <c r="C47" s="141">
        <f t="shared" si="7"/>
        <v>46.960279826594693</v>
      </c>
      <c r="D47" s="141">
        <f t="shared" si="7"/>
        <v>15.66107806671859</v>
      </c>
      <c r="E47" s="141">
        <f t="shared" si="7"/>
        <v>5.0722067585259181</v>
      </c>
      <c r="F47" s="141">
        <f t="shared" si="7"/>
        <v>4.2759073476628098</v>
      </c>
      <c r="G47" s="141">
        <f t="shared" si="7"/>
        <v>27.969136337751472</v>
      </c>
      <c r="H47" s="106">
        <f t="shared" si="7"/>
        <v>6.1391662746512567E-2</v>
      </c>
      <c r="I47" s="29"/>
    </row>
    <row r="48" spans="1:10" ht="12.75" customHeight="1" x14ac:dyDescent="0.2">
      <c r="B48" s="56">
        <v>1998</v>
      </c>
      <c r="C48" s="141">
        <f t="shared" si="7"/>
        <v>47.892714902313109</v>
      </c>
      <c r="D48" s="141">
        <f t="shared" si="7"/>
        <v>14.53654205935479</v>
      </c>
      <c r="E48" s="141">
        <f t="shared" si="7"/>
        <v>5.0473544273979005</v>
      </c>
      <c r="F48" s="141">
        <f t="shared" si="7"/>
        <v>4.4212135757958073</v>
      </c>
      <c r="G48" s="141">
        <f t="shared" si="7"/>
        <v>28.04066098147328</v>
      </c>
      <c r="H48" s="106">
        <f t="shared" si="7"/>
        <v>6.1514053665121859E-2</v>
      </c>
      <c r="I48" s="29"/>
    </row>
    <row r="49" spans="2:9" ht="12.75" customHeight="1" x14ac:dyDescent="0.2">
      <c r="B49" s="56">
        <v>1999</v>
      </c>
      <c r="C49" s="141">
        <f t="shared" si="7"/>
        <v>48.779700698596237</v>
      </c>
      <c r="D49" s="141">
        <f t="shared" si="7"/>
        <v>13.835014204141178</v>
      </c>
      <c r="E49" s="141">
        <f t="shared" si="7"/>
        <v>4.8471690279867454</v>
      </c>
      <c r="F49" s="141">
        <f t="shared" si="7"/>
        <v>4.2666155487343378</v>
      </c>
      <c r="G49" s="141">
        <f t="shared" si="7"/>
        <v>28.21003571546769</v>
      </c>
      <c r="H49" s="106">
        <f t="shared" si="7"/>
        <v>6.1464805073804127E-2</v>
      </c>
      <c r="I49" s="29"/>
    </row>
    <row r="50" spans="2:9" ht="12.75" customHeight="1" x14ac:dyDescent="0.2">
      <c r="B50" s="56">
        <v>2000</v>
      </c>
      <c r="C50" s="141">
        <f t="shared" si="7"/>
        <v>48.715062483374773</v>
      </c>
      <c r="D50" s="141">
        <f t="shared" si="7"/>
        <v>14.062093794247376</v>
      </c>
      <c r="E50" s="141">
        <f t="shared" si="7"/>
        <v>4.8471530344604856</v>
      </c>
      <c r="F50" s="141">
        <f t="shared" si="7"/>
        <v>4.1934878665414796</v>
      </c>
      <c r="G50" s="141">
        <f t="shared" si="7"/>
        <v>28.11922489533648</v>
      </c>
      <c r="H50" s="106">
        <f t="shared" si="7"/>
        <v>6.2977926039411714E-2</v>
      </c>
      <c r="I50" s="29"/>
    </row>
    <row r="51" spans="2:9" ht="12.75" customHeight="1" x14ac:dyDescent="0.2">
      <c r="B51" s="56">
        <v>2001</v>
      </c>
      <c r="C51" s="141">
        <f t="shared" si="7"/>
        <v>49.570969183064442</v>
      </c>
      <c r="D51" s="141">
        <f t="shared" si="7"/>
        <v>13.175601612299134</v>
      </c>
      <c r="E51" s="141">
        <f t="shared" si="7"/>
        <v>4.7248424375061662</v>
      </c>
      <c r="F51" s="141">
        <f t="shared" si="7"/>
        <v>4.3665640636142342</v>
      </c>
      <c r="G51" s="141">
        <f t="shared" si="7"/>
        <v>28.099778850331088</v>
      </c>
      <c r="H51" s="106">
        <f t="shared" si="7"/>
        <v>6.2243853184937539E-2</v>
      </c>
      <c r="I51" s="79"/>
    </row>
    <row r="52" spans="2:9" ht="12.75" customHeight="1" x14ac:dyDescent="0.2">
      <c r="B52" s="56">
        <v>2002</v>
      </c>
      <c r="C52" s="141">
        <f t="shared" si="7"/>
        <v>50.311524320819942</v>
      </c>
      <c r="D52" s="141">
        <f t="shared" si="7"/>
        <v>12.873749508697452</v>
      </c>
      <c r="E52" s="141">
        <f t="shared" si="7"/>
        <v>4.6302136075772244</v>
      </c>
      <c r="F52" s="141">
        <f t="shared" si="7"/>
        <v>4.154043668425575</v>
      </c>
      <c r="G52" s="141">
        <f t="shared" si="7"/>
        <v>27.970958396561045</v>
      </c>
      <c r="H52" s="106">
        <f t="shared" si="7"/>
        <v>5.95104979187559E-2</v>
      </c>
      <c r="I52" s="79"/>
    </row>
    <row r="53" spans="2:9" ht="12.75" customHeight="1" x14ac:dyDescent="0.2">
      <c r="B53" s="56">
        <v>2003</v>
      </c>
      <c r="C53" s="141">
        <f t="shared" si="7"/>
        <v>50.076294808469015</v>
      </c>
      <c r="D53" s="141">
        <f t="shared" si="7"/>
        <v>13.081326364638224</v>
      </c>
      <c r="E53" s="141">
        <f t="shared" si="7"/>
        <v>4.2908712817302472</v>
      </c>
      <c r="F53" s="141">
        <f t="shared" si="7"/>
        <v>4.2133069687108424</v>
      </c>
      <c r="G53" s="141">
        <f t="shared" si="7"/>
        <v>28.278546857014682</v>
      </c>
      <c r="H53" s="106">
        <f t="shared" si="7"/>
        <v>5.9653719437003046E-2</v>
      </c>
      <c r="I53" s="79"/>
    </row>
    <row r="54" spans="2:9" ht="12.75" customHeight="1" x14ac:dyDescent="0.2">
      <c r="B54" s="56">
        <v>2004</v>
      </c>
      <c r="C54" s="141">
        <f t="shared" si="7"/>
        <v>51.535968493348818</v>
      </c>
      <c r="D54" s="141">
        <f t="shared" si="7"/>
        <v>12.65583439505933</v>
      </c>
      <c r="E54" s="141">
        <f t="shared" si="7"/>
        <v>4.4376832602266294</v>
      </c>
      <c r="F54" s="141">
        <f t="shared" si="7"/>
        <v>3.9781947061082903</v>
      </c>
      <c r="G54" s="141">
        <f t="shared" si="7"/>
        <v>27.33456592298516</v>
      </c>
      <c r="H54" s="106">
        <f t="shared" si="7"/>
        <v>5.7753222271788827E-2</v>
      </c>
      <c r="I54" s="79"/>
    </row>
    <row r="55" spans="2:9" ht="12.75" customHeight="1" x14ac:dyDescent="0.2">
      <c r="B55" s="56">
        <v>2005</v>
      </c>
      <c r="C55" s="141">
        <f t="shared" si="7"/>
        <v>51.322301436641716</v>
      </c>
      <c r="D55" s="141">
        <f t="shared" si="7"/>
        <v>12.751676061522943</v>
      </c>
      <c r="E55" s="141">
        <f t="shared" si="7"/>
        <v>4.4793098886226934</v>
      </c>
      <c r="F55" s="141">
        <f t="shared" si="7"/>
        <v>4.0979048555969779</v>
      </c>
      <c r="G55" s="141">
        <f t="shared" si="7"/>
        <v>27.289685842416127</v>
      </c>
      <c r="H55" s="106">
        <f t="shared" si="7"/>
        <v>5.9121915199547008E-2</v>
      </c>
      <c r="I55" s="79"/>
    </row>
    <row r="56" spans="2:9" ht="12.75" customHeight="1" x14ac:dyDescent="0.2">
      <c r="B56" s="56">
        <v>2006</v>
      </c>
      <c r="C56" s="141">
        <f t="shared" si="7"/>
        <v>51.793350611010716</v>
      </c>
      <c r="D56" s="141">
        <f t="shared" si="7"/>
        <v>13.155263784787753</v>
      </c>
      <c r="E56" s="141">
        <f t="shared" si="7"/>
        <v>4.3746047789079414</v>
      </c>
      <c r="F56" s="141">
        <f t="shared" si="7"/>
        <v>3.9755115061996018</v>
      </c>
      <c r="G56" s="141">
        <f t="shared" si="7"/>
        <v>26.641655572086815</v>
      </c>
      <c r="H56" s="106">
        <f t="shared" si="7"/>
        <v>5.9613747007166568E-2</v>
      </c>
      <c r="I56" s="36"/>
    </row>
    <row r="57" spans="2:9" ht="12.75" customHeight="1" x14ac:dyDescent="0.2">
      <c r="B57" s="56">
        <v>2007</v>
      </c>
      <c r="C57" s="141">
        <f t="shared" si="7"/>
        <v>52.447055872638593</v>
      </c>
      <c r="D57" s="141">
        <f t="shared" si="7"/>
        <v>13.306797641346968</v>
      </c>
      <c r="E57" s="141">
        <f t="shared" si="7"/>
        <v>4.4920528938418371</v>
      </c>
      <c r="F57" s="141">
        <f t="shared" si="7"/>
        <v>3.6523684078102767</v>
      </c>
      <c r="G57" s="141">
        <f t="shared" si="7"/>
        <v>26.041479981545773</v>
      </c>
      <c r="H57" s="106">
        <f t="shared" si="7"/>
        <v>6.0245202816565736E-2</v>
      </c>
      <c r="I57" s="36"/>
    </row>
    <row r="58" spans="2:9" ht="12.75" customHeight="1" x14ac:dyDescent="0.2">
      <c r="B58" s="56">
        <v>2008</v>
      </c>
      <c r="C58" s="141">
        <f t="shared" si="7"/>
        <v>52.342832819823812</v>
      </c>
      <c r="D58" s="141">
        <f t="shared" si="7"/>
        <v>13.165967691834224</v>
      </c>
      <c r="E58" s="141">
        <f t="shared" si="7"/>
        <v>4.5866359135316888</v>
      </c>
      <c r="F58" s="141">
        <f t="shared" si="7"/>
        <v>3.583215550378207</v>
      </c>
      <c r="G58" s="141">
        <f t="shared" si="7"/>
        <v>26.261733544850006</v>
      </c>
      <c r="H58" s="106">
        <f t="shared" si="7"/>
        <v>5.9614479582044085E-2</v>
      </c>
      <c r="I58" s="36"/>
    </row>
    <row r="59" spans="2:9" ht="12.75" customHeight="1" x14ac:dyDescent="0.2">
      <c r="B59" s="56">
        <v>2009</v>
      </c>
      <c r="C59" s="141">
        <f t="shared" si="7"/>
        <v>52.697684862463333</v>
      </c>
      <c r="D59" s="141">
        <f t="shared" si="7"/>
        <v>11.976011617179282</v>
      </c>
      <c r="E59" s="141">
        <f t="shared" si="7"/>
        <v>4.6115968525264348</v>
      </c>
      <c r="F59" s="141">
        <f t="shared" si="7"/>
        <v>3.8822677202783566</v>
      </c>
      <c r="G59" s="141">
        <f t="shared" si="7"/>
        <v>26.769608756439293</v>
      </c>
      <c r="H59" s="106">
        <f t="shared" si="7"/>
        <v>6.2830191113299724E-2</v>
      </c>
      <c r="I59" s="36"/>
    </row>
    <row r="60" spans="2:9" ht="12.75" customHeight="1" x14ac:dyDescent="0.2">
      <c r="B60" s="56">
        <v>2010</v>
      </c>
      <c r="C60" s="141">
        <f t="shared" si="7"/>
        <v>51.335289256529023</v>
      </c>
      <c r="D60" s="141">
        <f t="shared" si="7"/>
        <v>12.352252839527891</v>
      </c>
      <c r="E60" s="141">
        <f t="shared" si="7"/>
        <v>5.1182348879552224</v>
      </c>
      <c r="F60" s="141">
        <f t="shared" si="7"/>
        <v>3.6556661393972836</v>
      </c>
      <c r="G60" s="141">
        <f t="shared" si="7"/>
        <v>27.478024962213677</v>
      </c>
      <c r="H60" s="106">
        <f t="shared" si="7"/>
        <v>6.053191437690212E-2</v>
      </c>
      <c r="I60" s="36"/>
    </row>
    <row r="61" spans="2:9" ht="14.25" customHeight="1" x14ac:dyDescent="0.2">
      <c r="B61" s="56">
        <v>2011</v>
      </c>
      <c r="C61" s="141">
        <f t="shared" si="7"/>
        <v>50.630854249864619</v>
      </c>
      <c r="D61" s="141">
        <f t="shared" si="7"/>
        <v>13.173805464409453</v>
      </c>
      <c r="E61" s="141">
        <f t="shared" si="7"/>
        <v>4.657872068821634</v>
      </c>
      <c r="F61" s="141">
        <f t="shared" si="7"/>
        <v>3.5558561227852667</v>
      </c>
      <c r="G61" s="141">
        <f t="shared" si="7"/>
        <v>27.92076331861935</v>
      </c>
      <c r="H61" s="106">
        <f t="shared" si="7"/>
        <v>6.0848775499681811E-2</v>
      </c>
      <c r="I61" s="36"/>
    </row>
    <row r="62" spans="2:9" ht="14.25" customHeight="1" x14ac:dyDescent="0.2">
      <c r="B62" s="56">
        <v>2012</v>
      </c>
      <c r="C62" s="141">
        <f t="shared" si="7"/>
        <v>50.024502701337539</v>
      </c>
      <c r="D62" s="141">
        <f t="shared" si="7"/>
        <v>13.004665491766461</v>
      </c>
      <c r="E62" s="141">
        <f t="shared" si="7"/>
        <v>5.0582570979634287</v>
      </c>
      <c r="F62" s="141">
        <f t="shared" si="7"/>
        <v>3.5443961612033164</v>
      </c>
      <c r="G62" s="141">
        <f t="shared" si="7"/>
        <v>28.306642093187868</v>
      </c>
      <c r="H62" s="106">
        <f t="shared" si="7"/>
        <v>6.1536454541369939E-2</v>
      </c>
    </row>
    <row r="63" spans="2:9" ht="14.25" customHeight="1" x14ac:dyDescent="0.2">
      <c r="B63" s="56">
        <v>2013</v>
      </c>
      <c r="C63" s="141">
        <f t="shared" si="7"/>
        <v>50.408221381191375</v>
      </c>
      <c r="D63" s="141">
        <f t="shared" si="7"/>
        <v>12.775848492944867</v>
      </c>
      <c r="E63" s="141">
        <f t="shared" si="7"/>
        <v>5.0723229047939338</v>
      </c>
      <c r="F63" s="141">
        <f t="shared" si="7"/>
        <v>3.3935431621428598</v>
      </c>
      <c r="G63" s="141">
        <f t="shared" si="7"/>
        <v>28.28907346727101</v>
      </c>
      <c r="H63" s="106">
        <f t="shared" si="7"/>
        <v>6.0990591655955093E-2</v>
      </c>
    </row>
    <row r="64" spans="2:9" ht="14.25" customHeight="1" x14ac:dyDescent="0.2">
      <c r="B64" s="56">
        <v>2014</v>
      </c>
      <c r="C64" s="141">
        <f t="shared" si="7"/>
        <v>50.155572818487968</v>
      </c>
      <c r="D64" s="141">
        <f t="shared" si="7"/>
        <v>12.771156909956327</v>
      </c>
      <c r="E64" s="141">
        <f t="shared" si="7"/>
        <v>4.948687031225993</v>
      </c>
      <c r="F64" s="141">
        <f t="shared" si="7"/>
        <v>3.319297961740042</v>
      </c>
      <c r="G64" s="141">
        <f t="shared" si="7"/>
        <v>28.73585527995618</v>
      </c>
      <c r="H64" s="106">
        <f t="shared" si="7"/>
        <v>6.9429998633477694E-2</v>
      </c>
    </row>
    <row r="65" spans="1:9" ht="15" customHeight="1" x14ac:dyDescent="0.2">
      <c r="B65" s="56">
        <v>2015</v>
      </c>
      <c r="C65" s="141">
        <f t="shared" si="7"/>
        <v>50.633024760415459</v>
      </c>
      <c r="D65" s="141">
        <f t="shared" si="7"/>
        <v>12.918233191603159</v>
      </c>
      <c r="E65" s="141">
        <f t="shared" si="7"/>
        <v>4.7764953038789235</v>
      </c>
      <c r="F65" s="141">
        <f t="shared" si="7"/>
        <v>3.3760943985626879</v>
      </c>
      <c r="G65" s="141">
        <f t="shared" si="7"/>
        <v>28.226706471501856</v>
      </c>
      <c r="H65" s="106">
        <f t="shared" si="7"/>
        <v>6.9445874037905572E-2</v>
      </c>
    </row>
    <row r="66" spans="1:9" ht="12.75" customHeight="1" x14ac:dyDescent="0.2">
      <c r="B66" s="56">
        <v>2016</v>
      </c>
      <c r="C66" s="141">
        <f t="shared" si="7"/>
        <v>50.776079888894564</v>
      </c>
      <c r="D66" s="141">
        <f t="shared" si="7"/>
        <v>12.773050750411302</v>
      </c>
      <c r="E66" s="141">
        <f t="shared" si="7"/>
        <v>4.5959195732248466</v>
      </c>
      <c r="F66" s="141">
        <f t="shared" si="7"/>
        <v>3.2820482396750297</v>
      </c>
      <c r="G66" s="141">
        <f t="shared" si="7"/>
        <v>28.505503380571927</v>
      </c>
      <c r="H66" s="106">
        <f t="shared" si="7"/>
        <v>6.7398167222325209E-2</v>
      </c>
    </row>
    <row r="67" spans="1:9" ht="18.75" customHeight="1" x14ac:dyDescent="0.2">
      <c r="B67" s="56">
        <v>2017</v>
      </c>
      <c r="C67" s="141">
        <f t="shared" si="7"/>
        <v>51.909870680763717</v>
      </c>
      <c r="D67" s="141">
        <f t="shared" si="7"/>
        <v>12.504664930862047</v>
      </c>
      <c r="E67" s="141">
        <f t="shared" si="7"/>
        <v>4.4762385864012826</v>
      </c>
      <c r="F67" s="141">
        <f t="shared" si="7"/>
        <v>3.1626878742358353</v>
      </c>
      <c r="G67" s="141">
        <f t="shared" si="7"/>
        <v>27.880500052098643</v>
      </c>
      <c r="H67" s="106">
        <f t="shared" si="7"/>
        <v>6.6037875638462432E-2</v>
      </c>
      <c r="I67" s="36"/>
    </row>
    <row r="68" spans="1:9" ht="15" customHeight="1" x14ac:dyDescent="0.2">
      <c r="B68" s="56">
        <v>2018</v>
      </c>
      <c r="C68" s="145">
        <f t="shared" si="7"/>
        <v>51.116285067097287</v>
      </c>
      <c r="D68" s="141">
        <f t="shared" si="7"/>
        <v>12.522815673686926</v>
      </c>
      <c r="E68" s="141">
        <f t="shared" si="7"/>
        <v>3.9307326160591982</v>
      </c>
      <c r="F68" s="141">
        <f t="shared" si="7"/>
        <v>3.1167344560613834</v>
      </c>
      <c r="G68" s="141">
        <f t="shared" si="7"/>
        <v>29.247089152718225</v>
      </c>
      <c r="H68" s="106">
        <f t="shared" si="7"/>
        <v>6.6343034376964052E-2</v>
      </c>
      <c r="I68" s="36"/>
    </row>
    <row r="69" spans="1:9" ht="15" customHeight="1" x14ac:dyDescent="0.2">
      <c r="A69" s="314"/>
      <c r="B69" s="56">
        <v>2019</v>
      </c>
      <c r="C69" s="145">
        <f t="shared" si="7"/>
        <v>51.98480455263924</v>
      </c>
      <c r="D69" s="141">
        <f t="shared" si="7"/>
        <v>12.016007290351274</v>
      </c>
      <c r="E69" s="141">
        <f t="shared" si="7"/>
        <v>4.1150128834754822</v>
      </c>
      <c r="F69" s="141">
        <f t="shared" si="7"/>
        <v>2.9754072174831596</v>
      </c>
      <c r="G69" s="141">
        <f t="shared" si="7"/>
        <v>28.840354634860759</v>
      </c>
      <c r="H69" s="106">
        <f t="shared" si="7"/>
        <v>6.8413421190068671E-2</v>
      </c>
      <c r="I69" s="36"/>
    </row>
    <row r="70" spans="1:9" ht="15" customHeight="1" x14ac:dyDescent="0.2">
      <c r="A70" s="1"/>
      <c r="B70" s="497">
        <v>2020</v>
      </c>
      <c r="C70" s="376">
        <f t="shared" si="7"/>
        <v>53.329125283968835</v>
      </c>
      <c r="D70" s="146">
        <f t="shared" si="7"/>
        <v>11.531010720726947</v>
      </c>
      <c r="E70" s="146">
        <f t="shared" si="7"/>
        <v>4.0261826135197287</v>
      </c>
      <c r="F70" s="146">
        <f t="shared" si="7"/>
        <v>2.803243900093884</v>
      </c>
      <c r="G70" s="146">
        <f t="shared" si="7"/>
        <v>28.247410360829221</v>
      </c>
      <c r="H70" s="107">
        <f t="shared" si="7"/>
        <v>6.302712086138669E-2</v>
      </c>
      <c r="I70" s="36"/>
    </row>
    <row r="71" spans="1:9" ht="16.5" customHeight="1" x14ac:dyDescent="0.2">
      <c r="B71" s="129" t="s">
        <v>116</v>
      </c>
      <c r="E71" s="141"/>
      <c r="G71" s="36"/>
      <c r="H71" s="36"/>
      <c r="I71" s="27"/>
    </row>
    <row r="72" spans="1:9" ht="12.75" customHeight="1" x14ac:dyDescent="0.2">
      <c r="B72" s="129" t="s">
        <v>137</v>
      </c>
      <c r="C72" s="12"/>
      <c r="D72" s="12"/>
      <c r="E72" s="12"/>
      <c r="F72" s="12"/>
      <c r="G72" s="27"/>
      <c r="H72" s="27"/>
      <c r="I72" s="302"/>
    </row>
    <row r="73" spans="1:9" ht="70.5" customHeight="1" x14ac:dyDescent="0.2">
      <c r="B73" s="540" t="s">
        <v>156</v>
      </c>
      <c r="C73" s="540"/>
      <c r="D73" s="540"/>
      <c r="E73" s="540"/>
      <c r="F73" s="540"/>
      <c r="G73" s="540"/>
      <c r="H73" s="540"/>
      <c r="I73" s="540"/>
    </row>
    <row r="74" spans="1:9" ht="35.25" customHeight="1" x14ac:dyDescent="0.2">
      <c r="B74" s="540" t="s">
        <v>117</v>
      </c>
      <c r="C74" s="540"/>
      <c r="D74" s="540"/>
      <c r="E74" s="540"/>
      <c r="F74" s="540"/>
      <c r="G74" s="540"/>
      <c r="H74" s="540"/>
      <c r="I74" s="540"/>
    </row>
    <row r="75" spans="1:9" ht="15" customHeight="1" x14ac:dyDescent="0.2">
      <c r="B75" s="541"/>
      <c r="C75" s="541"/>
      <c r="D75" s="541"/>
      <c r="E75" s="541"/>
      <c r="F75" s="541"/>
      <c r="G75" s="541"/>
      <c r="H75" s="541"/>
      <c r="I75" s="541"/>
    </row>
    <row r="76" spans="1:9" x14ac:dyDescent="0.2">
      <c r="C76" s="12"/>
      <c r="D76" s="12"/>
      <c r="E76" s="12"/>
      <c r="F76" s="12"/>
      <c r="G76" s="12"/>
      <c r="H76" s="12"/>
    </row>
  </sheetData>
  <mergeCells count="19">
    <mergeCell ref="B2:I2"/>
    <mergeCell ref="B3:I3"/>
    <mergeCell ref="B41:I41"/>
    <mergeCell ref="C5:C7"/>
    <mergeCell ref="D5:D7"/>
    <mergeCell ref="E5:E7"/>
    <mergeCell ref="F5:F7"/>
    <mergeCell ref="B4:I4"/>
    <mergeCell ref="I5:I7"/>
    <mergeCell ref="B40:I40"/>
    <mergeCell ref="B73:I73"/>
    <mergeCell ref="B74:I74"/>
    <mergeCell ref="B75:I75"/>
    <mergeCell ref="C42:C44"/>
    <mergeCell ref="H42:H44"/>
    <mergeCell ref="D42:D44"/>
    <mergeCell ref="E42:E44"/>
    <mergeCell ref="F42:F44"/>
    <mergeCell ref="G42:G44"/>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B1:S61"/>
  <sheetViews>
    <sheetView topLeftCell="B28" workbookViewId="0">
      <selection activeCell="I6" sqref="I6"/>
    </sheetView>
  </sheetViews>
  <sheetFormatPr defaultRowHeight="12.75" x14ac:dyDescent="0.2"/>
  <cols>
    <col min="1" max="1" width="7.7109375" customWidth="1"/>
    <col min="3" max="4" width="9.140625" style="326"/>
    <col min="5" max="6" width="7.42578125" style="326" customWidth="1"/>
    <col min="14" max="14" width="7.85546875" customWidth="1"/>
  </cols>
  <sheetData>
    <row r="1" spans="2:17" ht="14.25" customHeight="1" x14ac:dyDescent="0.2">
      <c r="B1" s="262"/>
      <c r="C1" s="325"/>
      <c r="D1" s="325"/>
      <c r="E1" s="325"/>
      <c r="G1" s="19" t="s">
        <v>77</v>
      </c>
    </row>
    <row r="2" spans="2:17" ht="12.75" customHeight="1" x14ac:dyDescent="0.2">
      <c r="B2" s="559" t="s">
        <v>122</v>
      </c>
      <c r="C2" s="559"/>
      <c r="D2" s="559"/>
      <c r="E2" s="559"/>
      <c r="F2" s="559"/>
      <c r="G2" s="559"/>
    </row>
    <row r="3" spans="2:17" ht="20.25" customHeight="1" x14ac:dyDescent="0.2">
      <c r="B3" s="559"/>
      <c r="C3" s="559"/>
      <c r="D3" s="559"/>
      <c r="E3" s="559"/>
      <c r="F3" s="559"/>
      <c r="G3" s="559"/>
    </row>
    <row r="4" spans="2:17" ht="12.75" customHeight="1" x14ac:dyDescent="0.2">
      <c r="B4" s="560">
        <v>2020</v>
      </c>
      <c r="C4" s="560"/>
      <c r="D4" s="560"/>
      <c r="E4" s="560"/>
      <c r="F4" s="560"/>
      <c r="G4" s="560"/>
      <c r="K4" s="562">
        <v>2020</v>
      </c>
      <c r="L4" s="563"/>
      <c r="M4" s="563"/>
      <c r="N4" s="564"/>
      <c r="O4" s="329"/>
    </row>
    <row r="5" spans="2:17" ht="12.75" customHeight="1" x14ac:dyDescent="0.2">
      <c r="B5" s="561" t="s">
        <v>106</v>
      </c>
      <c r="C5" s="561"/>
      <c r="D5" s="561"/>
      <c r="E5" s="561"/>
      <c r="F5" s="561"/>
      <c r="G5" s="561"/>
      <c r="K5" s="330"/>
      <c r="L5" s="331"/>
      <c r="M5" s="331"/>
      <c r="N5" s="332"/>
      <c r="O5" s="313"/>
      <c r="P5" s="1"/>
    </row>
    <row r="6" spans="2:17" ht="33.75" x14ac:dyDescent="0.2">
      <c r="B6" s="59"/>
      <c r="C6" s="263" t="s">
        <v>40</v>
      </c>
      <c r="D6" s="264" t="s">
        <v>41</v>
      </c>
      <c r="E6" s="264" t="s">
        <v>46</v>
      </c>
      <c r="F6" s="265" t="s">
        <v>69</v>
      </c>
      <c r="G6" s="266"/>
      <c r="H6" s="1"/>
      <c r="K6" s="498" t="s">
        <v>40</v>
      </c>
      <c r="L6" s="482" t="s">
        <v>41</v>
      </c>
      <c r="M6" s="482" t="s">
        <v>46</v>
      </c>
      <c r="N6" s="483" t="s">
        <v>69</v>
      </c>
      <c r="O6" s="265" t="s">
        <v>114</v>
      </c>
    </row>
    <row r="7" spans="2:17" x14ac:dyDescent="0.2">
      <c r="B7" s="279" t="s">
        <v>112</v>
      </c>
      <c r="C7" s="287">
        <f>K7/O7*100</f>
        <v>74.388967390265037</v>
      </c>
      <c r="D7" s="287">
        <f>L7/O7*100</f>
        <v>16.084643727295653</v>
      </c>
      <c r="E7" s="287">
        <f>M7/O7*100</f>
        <v>5.6161350022068408</v>
      </c>
      <c r="F7" s="287">
        <f>N7/O7*100</f>
        <v>3.9102538802324824</v>
      </c>
      <c r="G7" s="279" t="s">
        <v>112</v>
      </c>
      <c r="J7" s="279" t="s">
        <v>112</v>
      </c>
      <c r="K7" s="287">
        <f>road_ter!R7</f>
        <v>1744.9860000000001</v>
      </c>
      <c r="L7" s="287">
        <f>rail_tkm!AI7</f>
        <v>377.30700000000007</v>
      </c>
      <c r="M7" s="287">
        <f>iww!AI6</f>
        <v>131.74100000000001</v>
      </c>
      <c r="N7" s="287">
        <f>pipeline!AI6</f>
        <v>91.725137702937118</v>
      </c>
      <c r="O7" s="499">
        <f>SUM(K7:N7)</f>
        <v>2345.7591377029371</v>
      </c>
      <c r="Q7" s="1"/>
    </row>
    <row r="8" spans="2:17" x14ac:dyDescent="0.2">
      <c r="B8" s="17" t="s">
        <v>22</v>
      </c>
      <c r="C8" s="167">
        <f>K8/O8*100</f>
        <v>76.765325495225397</v>
      </c>
      <c r="D8" s="167">
        <f t="shared" ref="D8:D34" si="0">L8/O8*100</f>
        <v>9.9095927096838317</v>
      </c>
      <c r="E8" s="167">
        <f t="shared" ref="E8:E34" si="1">M8/O8*100</f>
        <v>10.927174767036439</v>
      </c>
      <c r="F8" s="437">
        <f t="shared" ref="F8:F32" si="2">N8/O8*100</f>
        <v>2.3979070280543207</v>
      </c>
      <c r="G8" s="17" t="s">
        <v>22</v>
      </c>
      <c r="J8" s="17" t="s">
        <v>22</v>
      </c>
      <c r="K8" s="167">
        <f>road_ter!R9</f>
        <v>51.902000000000001</v>
      </c>
      <c r="L8" s="167">
        <f>rail_tkm!AI9</f>
        <v>6.7</v>
      </c>
      <c r="M8" s="167">
        <f>iww!AI8</f>
        <v>7.3879999999999999</v>
      </c>
      <c r="N8" s="437">
        <f>pipeline!AI8</f>
        <v>1.6212550362704601</v>
      </c>
      <c r="O8" s="500">
        <f>SUM(K8:N8)</f>
        <v>67.611255036270464</v>
      </c>
      <c r="P8" s="443"/>
      <c r="Q8" s="171"/>
    </row>
    <row r="9" spans="2:17" x14ac:dyDescent="0.2">
      <c r="B9" s="88" t="s">
        <v>5</v>
      </c>
      <c r="C9" s="159">
        <f t="shared" ref="C9:C34" si="3">K9/O9*100</f>
        <v>49.298929355373375</v>
      </c>
      <c r="D9" s="159">
        <f t="shared" si="0"/>
        <v>20.172019889799756</v>
      </c>
      <c r="E9" s="159">
        <f t="shared" si="1"/>
        <v>28.024907046543916</v>
      </c>
      <c r="F9" s="179">
        <f t="shared" si="2"/>
        <v>2.5041437082829368</v>
      </c>
      <c r="G9" s="88" t="s">
        <v>5</v>
      </c>
      <c r="J9" s="88" t="s">
        <v>5</v>
      </c>
      <c r="K9" s="159">
        <f>road_ter!R10</f>
        <v>11.005000000000001</v>
      </c>
      <c r="L9" s="159">
        <f>rail_tkm!AI10</f>
        <v>4.5030000000000001</v>
      </c>
      <c r="M9" s="159">
        <f>iww!AI9</f>
        <v>6.2560000000000002</v>
      </c>
      <c r="N9" s="179">
        <f>pipeline!AI9</f>
        <v>0.55900000000000005</v>
      </c>
      <c r="O9" s="501">
        <f t="shared" ref="O9:O34" si="4">SUM(K9:N9)</f>
        <v>22.323000000000004</v>
      </c>
      <c r="P9" s="443"/>
    </row>
    <row r="10" spans="2:17" x14ac:dyDescent="0.2">
      <c r="B10" s="17" t="s">
        <v>7</v>
      </c>
      <c r="C10" s="167">
        <f t="shared" si="3"/>
        <v>75.320816278968138</v>
      </c>
      <c r="D10" s="167">
        <f t="shared" si="0"/>
        <v>22.214615530275442</v>
      </c>
      <c r="E10" s="167">
        <f t="shared" si="1"/>
        <v>2.6218810539961834E-2</v>
      </c>
      <c r="F10" s="437">
        <f t="shared" si="2"/>
        <v>2.4383493802164504</v>
      </c>
      <c r="G10" s="17" t="s">
        <v>7</v>
      </c>
      <c r="J10" s="17" t="s">
        <v>7</v>
      </c>
      <c r="K10" s="167">
        <f>road_ter!R11</f>
        <v>51.71</v>
      </c>
      <c r="L10" s="167">
        <f>rail_tkm!AI11</f>
        <v>15.250999999999999</v>
      </c>
      <c r="M10" s="167">
        <f>iww!AI10</f>
        <v>1.7999999999999999E-2</v>
      </c>
      <c r="N10" s="437">
        <f>pipeline!AI10</f>
        <v>1.6739999999999999</v>
      </c>
      <c r="O10" s="500">
        <f t="shared" si="4"/>
        <v>68.653000000000006</v>
      </c>
      <c r="P10" s="443"/>
    </row>
    <row r="11" spans="2:17" x14ac:dyDescent="0.2">
      <c r="B11" s="88" t="s">
        <v>18</v>
      </c>
      <c r="C11" s="159">
        <f t="shared" si="3"/>
        <v>85.509392452191562</v>
      </c>
      <c r="D11" s="159">
        <f t="shared" si="0"/>
        <v>10.365544085293621</v>
      </c>
      <c r="E11" s="159" t="s">
        <v>35</v>
      </c>
      <c r="F11" s="179">
        <f t="shared" si="2"/>
        <v>4.1250634625148077</v>
      </c>
      <c r="G11" s="88" t="s">
        <v>18</v>
      </c>
      <c r="J11" s="88" t="s">
        <v>18</v>
      </c>
      <c r="K11" s="159">
        <f>road_ter!R12</f>
        <v>20.210999999999999</v>
      </c>
      <c r="L11" s="159">
        <f>rail_tkm!AI12</f>
        <v>2.4500000000000002</v>
      </c>
      <c r="M11" s="159" t="str">
        <f>iww!AI11</f>
        <v>-</v>
      </c>
      <c r="N11" s="179">
        <f>pipeline!AI11</f>
        <v>0.97499999999999998</v>
      </c>
      <c r="O11" s="501">
        <f t="shared" si="4"/>
        <v>23.635999999999999</v>
      </c>
      <c r="P11" s="443"/>
    </row>
    <row r="12" spans="2:17" x14ac:dyDescent="0.2">
      <c r="B12" s="17" t="s">
        <v>23</v>
      </c>
      <c r="C12" s="167">
        <f t="shared" si="3"/>
        <v>73.032590792662688</v>
      </c>
      <c r="D12" s="167">
        <f t="shared" si="0"/>
        <v>17.099989353507393</v>
      </c>
      <c r="E12" s="167">
        <f t="shared" si="1"/>
        <v>7.2549584473656195</v>
      </c>
      <c r="F12" s="437">
        <f t="shared" si="2"/>
        <v>2.6124614064643001</v>
      </c>
      <c r="G12" s="17" t="s">
        <v>23</v>
      </c>
      <c r="J12" s="17" t="s">
        <v>23</v>
      </c>
      <c r="K12" s="167">
        <f>road_ter!R13</f>
        <v>466.46499999999997</v>
      </c>
      <c r="L12" s="167">
        <f>rail_tkm!AI13</f>
        <v>109.21899999999999</v>
      </c>
      <c r="M12" s="167">
        <f>iww!AI12</f>
        <v>46.338000000000001</v>
      </c>
      <c r="N12" s="437">
        <f>pipeline!AI12</f>
        <v>16.686</v>
      </c>
      <c r="O12" s="500">
        <f t="shared" si="4"/>
        <v>638.70799999999997</v>
      </c>
      <c r="P12" s="443"/>
    </row>
    <row r="13" spans="2:17" x14ac:dyDescent="0.2">
      <c r="B13" s="88" t="s">
        <v>8</v>
      </c>
      <c r="C13" s="159">
        <f t="shared" si="3"/>
        <v>61.406249999999993</v>
      </c>
      <c r="D13" s="159">
        <f t="shared" si="0"/>
        <v>38.59375</v>
      </c>
      <c r="E13" s="159" t="s">
        <v>35</v>
      </c>
      <c r="F13" s="179" t="s">
        <v>35</v>
      </c>
      <c r="G13" s="88" t="s">
        <v>8</v>
      </c>
      <c r="J13" s="88" t="s">
        <v>8</v>
      </c>
      <c r="K13" s="159">
        <f>road_ter!R14</f>
        <v>2.7509999999999999</v>
      </c>
      <c r="L13" s="159">
        <f>rail_tkm!AI14</f>
        <v>1.7290000000000001</v>
      </c>
      <c r="M13" s="159" t="str">
        <f>iww!AI13</f>
        <v>-</v>
      </c>
      <c r="N13" s="179" t="str">
        <f>pipeline!AI13</f>
        <v>-</v>
      </c>
      <c r="O13" s="501">
        <f t="shared" si="4"/>
        <v>4.4800000000000004</v>
      </c>
      <c r="P13" s="443"/>
    </row>
    <row r="14" spans="2:17" x14ac:dyDescent="0.2">
      <c r="B14" s="17" t="s">
        <v>26</v>
      </c>
      <c r="C14" s="167">
        <f t="shared" si="3"/>
        <v>99.23860479473197</v>
      </c>
      <c r="D14" s="167">
        <f t="shared" si="0"/>
        <v>0.76139520526803173</v>
      </c>
      <c r="E14" s="167" t="s">
        <v>35</v>
      </c>
      <c r="F14" s="437" t="s">
        <v>35</v>
      </c>
      <c r="G14" s="17" t="s">
        <v>26</v>
      </c>
      <c r="J14" s="17" t="s">
        <v>26</v>
      </c>
      <c r="K14" s="167">
        <f>road_ter!R15</f>
        <v>9.6449999999999996</v>
      </c>
      <c r="L14" s="167">
        <f>rail_tkm!AI15</f>
        <v>7.3999999999999996E-2</v>
      </c>
      <c r="M14" s="167" t="str">
        <f>iww!AI14</f>
        <v>-</v>
      </c>
      <c r="N14" s="437" t="str">
        <f>pipeline!AI14</f>
        <v>-</v>
      </c>
      <c r="O14" s="500">
        <f t="shared" si="4"/>
        <v>9.7189999999999994</v>
      </c>
      <c r="P14" s="443"/>
    </row>
    <row r="15" spans="2:17" x14ac:dyDescent="0.2">
      <c r="B15" s="88" t="s">
        <v>19</v>
      </c>
      <c r="C15" s="159">
        <f t="shared" si="3"/>
        <v>96.634648326383243</v>
      </c>
      <c r="D15" s="159">
        <f t="shared" si="0"/>
        <v>3.1956283037086752</v>
      </c>
      <c r="E15" s="159" t="s">
        <v>35</v>
      </c>
      <c r="F15" s="179">
        <f t="shared" si="2"/>
        <v>0.16972336990808298</v>
      </c>
      <c r="G15" s="88" t="s">
        <v>19</v>
      </c>
      <c r="J15" s="88" t="s">
        <v>19</v>
      </c>
      <c r="K15" s="159">
        <f>road_ter!R16</f>
        <v>16.783000000000001</v>
      </c>
      <c r="L15" s="159">
        <f>rail_tkm!AI16</f>
        <v>0.55500000000000005</v>
      </c>
      <c r="M15" s="159" t="str">
        <f>iww!AI15</f>
        <v>-</v>
      </c>
      <c r="N15" s="179">
        <f>pipeline!AI15</f>
        <v>2.9476666666666668E-2</v>
      </c>
      <c r="O15" s="501">
        <f t="shared" si="4"/>
        <v>17.367476666666668</v>
      </c>
    </row>
    <row r="16" spans="2:17" x14ac:dyDescent="0.2">
      <c r="B16" s="17" t="s">
        <v>24</v>
      </c>
      <c r="C16" s="167">
        <f t="shared" si="3"/>
        <v>92.556784466643165</v>
      </c>
      <c r="D16" s="167">
        <f t="shared" si="0"/>
        <v>3.979708838790561</v>
      </c>
      <c r="E16" s="167" t="s">
        <v>35</v>
      </c>
      <c r="F16" s="437">
        <f t="shared" si="2"/>
        <v>3.46350669456627</v>
      </c>
      <c r="G16" s="17" t="s">
        <v>24</v>
      </c>
      <c r="J16" s="17" t="s">
        <v>24</v>
      </c>
      <c r="K16" s="167">
        <f>road_ter!R17</f>
        <v>207.45400000000001</v>
      </c>
      <c r="L16" s="167">
        <f>rail_tkm!AI17</f>
        <v>8.92</v>
      </c>
      <c r="M16" s="167" t="str">
        <f>iww!AI16</f>
        <v>-</v>
      </c>
      <c r="N16" s="437">
        <f>pipeline!AI16</f>
        <v>7.7629999999999999</v>
      </c>
      <c r="O16" s="500">
        <f t="shared" si="4"/>
        <v>224.137</v>
      </c>
    </row>
    <row r="17" spans="2:19" x14ac:dyDescent="0.2">
      <c r="B17" s="88" t="s">
        <v>25</v>
      </c>
      <c r="C17" s="159">
        <f t="shared" si="3"/>
        <v>85.349310767392367</v>
      </c>
      <c r="D17" s="159">
        <f t="shared" si="0"/>
        <v>9.6202971534479911</v>
      </c>
      <c r="E17" s="159">
        <f t="shared" si="1"/>
        <v>2.130189058851502</v>
      </c>
      <c r="F17" s="179">
        <f t="shared" si="2"/>
        <v>2.900203020308127</v>
      </c>
      <c r="G17" s="88" t="s">
        <v>25</v>
      </c>
      <c r="J17" s="88" t="s">
        <v>25</v>
      </c>
      <c r="K17" s="159">
        <f>road_ter!R18</f>
        <v>279.98500000000001</v>
      </c>
      <c r="L17" s="159">
        <f>rail_tkm!AI18</f>
        <v>31.559000000000001</v>
      </c>
      <c r="M17" s="159">
        <f>iww!AI17</f>
        <v>6.9880000000000004</v>
      </c>
      <c r="N17" s="179">
        <f>pipeline!AI17</f>
        <v>9.5139999999999993</v>
      </c>
      <c r="O17" s="501">
        <f t="shared" si="4"/>
        <v>328.04600000000005</v>
      </c>
    </row>
    <row r="18" spans="2:19" x14ac:dyDescent="0.2">
      <c r="B18" s="17" t="s">
        <v>36</v>
      </c>
      <c r="C18" s="167">
        <f t="shared" si="3"/>
        <v>61.451367278024229</v>
      </c>
      <c r="D18" s="167">
        <f t="shared" si="0"/>
        <v>21.710918360590608</v>
      </c>
      <c r="E18" s="167">
        <f t="shared" si="1"/>
        <v>5.9789445805469104</v>
      </c>
      <c r="F18" s="437">
        <f t="shared" si="2"/>
        <v>10.858769780838243</v>
      </c>
      <c r="G18" s="17" t="s">
        <v>36</v>
      </c>
      <c r="J18" s="17" t="s">
        <v>36</v>
      </c>
      <c r="K18" s="167">
        <f>road_ter!R19</f>
        <v>9.2810000000000006</v>
      </c>
      <c r="L18" s="167">
        <f>rail_tkm!AI19</f>
        <v>3.2789999999999999</v>
      </c>
      <c r="M18" s="167">
        <f>iww!AI18</f>
        <v>0.90300000000000002</v>
      </c>
      <c r="N18" s="437">
        <f>pipeline!AI18</f>
        <v>1.64</v>
      </c>
      <c r="O18" s="500">
        <f t="shared" si="4"/>
        <v>15.103000000000002</v>
      </c>
    </row>
    <row r="19" spans="2:19" x14ac:dyDescent="0.2">
      <c r="B19" s="193" t="s">
        <v>27</v>
      </c>
      <c r="C19" s="159">
        <f t="shared" si="3"/>
        <v>83.626098896590221</v>
      </c>
      <c r="D19" s="159">
        <f t="shared" si="0"/>
        <v>11.351389793049121</v>
      </c>
      <c r="E19" s="159">
        <f t="shared" si="1"/>
        <v>6.7834811293401978E-2</v>
      </c>
      <c r="F19" s="179">
        <f t="shared" si="2"/>
        <v>4.954676499067272</v>
      </c>
      <c r="G19" s="193" t="s">
        <v>27</v>
      </c>
      <c r="J19" s="193" t="s">
        <v>27</v>
      </c>
      <c r="K19" s="159">
        <f>road_ter!R20</f>
        <v>152.86600000000001</v>
      </c>
      <c r="L19" s="159">
        <f>rail_tkm!AI20</f>
        <v>20.75</v>
      </c>
      <c r="M19" s="159">
        <f>iww!AI19</f>
        <v>0.124</v>
      </c>
      <c r="N19" s="179">
        <f>pipeline!AI19</f>
        <v>9.0570000000000004</v>
      </c>
      <c r="O19" s="502">
        <f t="shared" si="4"/>
        <v>182.797</v>
      </c>
    </row>
    <row r="20" spans="2:19" x14ac:dyDescent="0.2">
      <c r="B20" s="17" t="s">
        <v>6</v>
      </c>
      <c r="C20" s="167">
        <f t="shared" si="3"/>
        <v>100</v>
      </c>
      <c r="D20" s="167" t="s">
        <v>35</v>
      </c>
      <c r="E20" s="167" t="s">
        <v>35</v>
      </c>
      <c r="F20" s="437" t="s">
        <v>35</v>
      </c>
      <c r="G20" s="17" t="s">
        <v>6</v>
      </c>
      <c r="J20" s="17" t="s">
        <v>6</v>
      </c>
      <c r="K20" s="167">
        <f>road_ter!R21</f>
        <v>0.67200000000000004</v>
      </c>
      <c r="L20" s="167" t="str">
        <f>rail_tkm!AI21</f>
        <v>-</v>
      </c>
      <c r="M20" s="167" t="str">
        <f>iww!AI20</f>
        <v>-</v>
      </c>
      <c r="N20" s="437" t="str">
        <f>pipeline!AI20</f>
        <v>-</v>
      </c>
      <c r="O20" s="500">
        <f t="shared" si="4"/>
        <v>0.67200000000000004</v>
      </c>
      <c r="R20" s="311"/>
    </row>
    <row r="21" spans="2:19" x14ac:dyDescent="0.2">
      <c r="B21" s="193" t="s">
        <v>10</v>
      </c>
      <c r="C21" s="159">
        <f t="shared" si="3"/>
        <v>41.989893471729033</v>
      </c>
      <c r="D21" s="159">
        <f t="shared" si="0"/>
        <v>54.486479104069929</v>
      </c>
      <c r="E21" s="159" t="s">
        <v>35</v>
      </c>
      <c r="F21" s="179">
        <f t="shared" si="2"/>
        <v>3.5236274242010381</v>
      </c>
      <c r="G21" s="193" t="s">
        <v>10</v>
      </c>
      <c r="J21" s="193" t="s">
        <v>10</v>
      </c>
      <c r="K21" s="159">
        <f>road_ter!R22</f>
        <v>6.149</v>
      </c>
      <c r="L21" s="159">
        <f>rail_tkm!AI22</f>
        <v>7.9790000000000001</v>
      </c>
      <c r="M21" s="159" t="str">
        <f>iww!AI21</f>
        <v>-</v>
      </c>
      <c r="N21" s="179">
        <f>pipeline!AI21</f>
        <v>0.51600000000000001</v>
      </c>
      <c r="O21" s="502">
        <f t="shared" si="4"/>
        <v>14.644</v>
      </c>
    </row>
    <row r="22" spans="2:19" x14ac:dyDescent="0.2">
      <c r="B22" s="17" t="s">
        <v>11</v>
      </c>
      <c r="C22" s="167">
        <f t="shared" si="3"/>
        <v>35.030920334667151</v>
      </c>
      <c r="D22" s="167">
        <f t="shared" si="0"/>
        <v>64.124328038478637</v>
      </c>
      <c r="E22" s="167">
        <f t="shared" si="1"/>
        <v>0</v>
      </c>
      <c r="F22" s="437">
        <f t="shared" si="2"/>
        <v>0.84475162685420957</v>
      </c>
      <c r="G22" s="17" t="s">
        <v>11</v>
      </c>
      <c r="J22" s="17" t="s">
        <v>11</v>
      </c>
      <c r="K22" s="167">
        <f>road_ter!R23</f>
        <v>8.6669999999999998</v>
      </c>
      <c r="L22" s="167">
        <f>rail_tkm!AI23</f>
        <v>15.865</v>
      </c>
      <c r="M22" s="167">
        <f>iww!AI22</f>
        <v>0</v>
      </c>
      <c r="N22" s="437">
        <f>pipeline!AI22</f>
        <v>0.20899999999999999</v>
      </c>
      <c r="O22" s="500">
        <f t="shared" si="4"/>
        <v>24.741</v>
      </c>
    </row>
    <row r="23" spans="2:19" x14ac:dyDescent="0.2">
      <c r="B23" s="193" t="s">
        <v>28</v>
      </c>
      <c r="C23" s="159">
        <f t="shared" si="3"/>
        <v>85.171568627450981</v>
      </c>
      <c r="D23" s="159">
        <f t="shared" si="0"/>
        <v>6.6176470588235299</v>
      </c>
      <c r="E23" s="159">
        <f t="shared" si="1"/>
        <v>8.2107843137254903</v>
      </c>
      <c r="F23" s="179" t="s">
        <v>35</v>
      </c>
      <c r="G23" s="193" t="s">
        <v>28</v>
      </c>
      <c r="J23" s="193" t="s">
        <v>28</v>
      </c>
      <c r="K23" s="159">
        <f>road_ter!R24</f>
        <v>2.085</v>
      </c>
      <c r="L23" s="159">
        <f>rail_tkm!AI24</f>
        <v>0.16200000000000001</v>
      </c>
      <c r="M23" s="159">
        <f>iww!AI23</f>
        <v>0.20100000000000001</v>
      </c>
      <c r="N23" s="179" t="str">
        <f>pipeline!AI23</f>
        <v>-</v>
      </c>
      <c r="O23" s="502">
        <f t="shared" si="4"/>
        <v>2.448</v>
      </c>
    </row>
    <row r="24" spans="2:19" x14ac:dyDescent="0.2">
      <c r="B24" s="17" t="s">
        <v>9</v>
      </c>
      <c r="C24" s="167">
        <f t="shared" si="3"/>
        <v>62.140317610808246</v>
      </c>
      <c r="D24" s="167">
        <f t="shared" si="0"/>
        <v>27.482815833135817</v>
      </c>
      <c r="E24" s="167">
        <f t="shared" si="1"/>
        <v>4.735719364778384</v>
      </c>
      <c r="F24" s="437">
        <f t="shared" si="2"/>
        <v>5.6411471912775539</v>
      </c>
      <c r="G24" s="17" t="s">
        <v>9</v>
      </c>
      <c r="J24" s="17" t="s">
        <v>9</v>
      </c>
      <c r="K24" s="167">
        <f>road_ter!R25</f>
        <v>26.216999999999999</v>
      </c>
      <c r="L24" s="167">
        <f>rail_tkm!AI25</f>
        <v>11.595000000000001</v>
      </c>
      <c r="M24" s="167">
        <f>iww!AI24</f>
        <v>1.998</v>
      </c>
      <c r="N24" s="437">
        <f>pipeline!AI24</f>
        <v>2.38</v>
      </c>
      <c r="O24" s="500">
        <f t="shared" si="4"/>
        <v>42.19</v>
      </c>
    </row>
    <row r="25" spans="2:19" x14ac:dyDescent="0.2">
      <c r="B25" s="193" t="s">
        <v>12</v>
      </c>
      <c r="C25" s="159">
        <v>100</v>
      </c>
      <c r="D25" s="159" t="s">
        <v>35</v>
      </c>
      <c r="E25" s="159" t="s">
        <v>35</v>
      </c>
      <c r="F25" s="179" t="s">
        <v>35</v>
      </c>
      <c r="G25" s="193" t="s">
        <v>12</v>
      </c>
      <c r="H25" s="311"/>
      <c r="I25" s="314"/>
      <c r="J25" s="193" t="s">
        <v>12</v>
      </c>
      <c r="K25" s="159">
        <v>0.3</v>
      </c>
      <c r="L25" s="159" t="str">
        <f>rail_tkm!AI26</f>
        <v>-</v>
      </c>
      <c r="M25" s="159" t="str">
        <f>iww!AI25</f>
        <v>-</v>
      </c>
      <c r="N25" s="179" t="str">
        <f>pipeline!AI25</f>
        <v>-</v>
      </c>
      <c r="O25" s="502">
        <f t="shared" si="4"/>
        <v>0.3</v>
      </c>
    </row>
    <row r="26" spans="2:19" x14ac:dyDescent="0.2">
      <c r="B26" s="17" t="s">
        <v>20</v>
      </c>
      <c r="C26" s="167">
        <f t="shared" si="3"/>
        <v>49.857111453066608</v>
      </c>
      <c r="D26" s="167">
        <f t="shared" si="0"/>
        <v>5.8606287096065062</v>
      </c>
      <c r="E26" s="167">
        <f t="shared" si="1"/>
        <v>39.715102220268186</v>
      </c>
      <c r="F26" s="437">
        <f t="shared" si="2"/>
        <v>4.5671576170586938</v>
      </c>
      <c r="G26" s="17" t="s">
        <v>20</v>
      </c>
      <c r="H26" s="311"/>
      <c r="J26" s="17" t="s">
        <v>20</v>
      </c>
      <c r="K26" s="167">
        <f>road_ter!R27</f>
        <v>56.7</v>
      </c>
      <c r="L26" s="167">
        <f>rail_tkm!AI27</f>
        <v>6.665</v>
      </c>
      <c r="M26" s="167">
        <f>iww!AI26</f>
        <v>45.165999999999997</v>
      </c>
      <c r="N26" s="437">
        <f>pipeline!AI26</f>
        <v>5.194</v>
      </c>
      <c r="O26" s="500">
        <f t="shared" si="4"/>
        <v>113.72500000000001</v>
      </c>
      <c r="S26" s="1"/>
    </row>
    <row r="27" spans="2:19" x14ac:dyDescent="0.2">
      <c r="B27" s="193" t="s">
        <v>29</v>
      </c>
      <c r="C27" s="159">
        <f t="shared" si="3"/>
        <v>61.175199208374565</v>
      </c>
      <c r="D27" s="159">
        <f t="shared" si="0"/>
        <v>26.688714129472423</v>
      </c>
      <c r="E27" s="159">
        <f t="shared" si="1"/>
        <v>2.0910369251601479</v>
      </c>
      <c r="F27" s="179">
        <f t="shared" si="2"/>
        <v>10.045049736992864</v>
      </c>
      <c r="G27" s="193" t="s">
        <v>29</v>
      </c>
      <c r="J27" s="193" t="s">
        <v>29</v>
      </c>
      <c r="K27" s="159">
        <f>road_ter!R28</f>
        <v>46.984999999999999</v>
      </c>
      <c r="L27" s="159">
        <f>rail_tkm!AI28</f>
        <v>20.498000000000001</v>
      </c>
      <c r="M27" s="159">
        <f>iww!AI27</f>
        <v>1.6060000000000001</v>
      </c>
      <c r="N27" s="179">
        <f>pipeline!AI27</f>
        <v>7.7149999999999999</v>
      </c>
      <c r="O27" s="502">
        <f t="shared" si="4"/>
        <v>76.804000000000002</v>
      </c>
    </row>
    <row r="28" spans="2:19" x14ac:dyDescent="0.2">
      <c r="B28" s="17" t="s">
        <v>13</v>
      </c>
      <c r="C28" s="167">
        <f t="shared" si="3"/>
        <v>70.979128672745702</v>
      </c>
      <c r="D28" s="167">
        <f t="shared" si="0"/>
        <v>20.707598784194527</v>
      </c>
      <c r="E28" s="167">
        <f t="shared" si="1"/>
        <v>3.1205673758865248E-2</v>
      </c>
      <c r="F28" s="437">
        <f t="shared" si="2"/>
        <v>8.2820668693009125</v>
      </c>
      <c r="G28" s="17" t="s">
        <v>13</v>
      </c>
      <c r="H28" s="311"/>
      <c r="I28" s="314"/>
      <c r="J28" s="17" t="s">
        <v>13</v>
      </c>
      <c r="K28" s="167">
        <f>road_ter!R29</f>
        <v>175.14099999999999</v>
      </c>
      <c r="L28" s="167">
        <f>rail_tkm!AI29</f>
        <v>51.095999999999997</v>
      </c>
      <c r="M28" s="167">
        <f>iww!AI28</f>
        <v>7.6999999999999999E-2</v>
      </c>
      <c r="N28" s="437">
        <f>pipeline!AI28</f>
        <v>20.436</v>
      </c>
      <c r="O28" s="500">
        <f t="shared" si="4"/>
        <v>246.75</v>
      </c>
    </row>
    <row r="29" spans="2:19" x14ac:dyDescent="0.2">
      <c r="B29" s="193" t="s">
        <v>30</v>
      </c>
      <c r="C29" s="159">
        <f t="shared" si="3"/>
        <v>84.214026602176531</v>
      </c>
      <c r="D29" s="159">
        <f t="shared" si="0"/>
        <v>13.917775090689236</v>
      </c>
      <c r="E29" s="159" t="s">
        <v>35</v>
      </c>
      <c r="F29" s="179">
        <f t="shared" si="2"/>
        <v>1.8681983071342199</v>
      </c>
      <c r="G29" s="193" t="s">
        <v>30</v>
      </c>
      <c r="J29" s="193" t="s">
        <v>30</v>
      </c>
      <c r="K29" s="159">
        <f>road_ter!R30</f>
        <v>13.929</v>
      </c>
      <c r="L29" s="159">
        <f>rail_tkm!AI30</f>
        <v>2.302</v>
      </c>
      <c r="M29" s="159" t="str">
        <f>iww!AI29</f>
        <v>-</v>
      </c>
      <c r="N29" s="179">
        <f>pipeline!AI29</f>
        <v>0.309</v>
      </c>
      <c r="O29" s="502">
        <f t="shared" si="4"/>
        <v>16.540000000000003</v>
      </c>
    </row>
    <row r="30" spans="2:19" x14ac:dyDescent="0.2">
      <c r="B30" s="17" t="s">
        <v>14</v>
      </c>
      <c r="C30" s="167">
        <f t="shared" si="3"/>
        <v>44.532100667693882</v>
      </c>
      <c r="D30" s="167">
        <f t="shared" si="0"/>
        <v>25.251155624036979</v>
      </c>
      <c r="E30" s="167">
        <f t="shared" si="1"/>
        <v>28.018489984591682</v>
      </c>
      <c r="F30" s="437">
        <f t="shared" si="2"/>
        <v>2.1982537236774529</v>
      </c>
      <c r="G30" s="17" t="s">
        <v>14</v>
      </c>
      <c r="J30" s="17" t="s">
        <v>14</v>
      </c>
      <c r="K30" s="167">
        <f>road_ter!R31</f>
        <v>21.675999999999998</v>
      </c>
      <c r="L30" s="167">
        <f>rail_tkm!AI31</f>
        <v>12.291</v>
      </c>
      <c r="M30" s="167">
        <f>iww!AI30</f>
        <v>13.638</v>
      </c>
      <c r="N30" s="437">
        <f>pipeline!AI30</f>
        <v>1.07</v>
      </c>
      <c r="O30" s="500">
        <f t="shared" si="4"/>
        <v>48.674999999999997</v>
      </c>
    </row>
    <row r="31" spans="2:19" x14ac:dyDescent="0.2">
      <c r="B31" s="193" t="s">
        <v>16</v>
      </c>
      <c r="C31" s="159">
        <f t="shared" si="3"/>
        <v>65.475929578493677</v>
      </c>
      <c r="D31" s="159">
        <f t="shared" si="0"/>
        <v>34.524070421506323</v>
      </c>
      <c r="E31" s="159" t="s">
        <v>35</v>
      </c>
      <c r="F31" s="179" t="s">
        <v>35</v>
      </c>
      <c r="G31" s="193" t="s">
        <v>16</v>
      </c>
      <c r="J31" s="193" t="s">
        <v>16</v>
      </c>
      <c r="K31" s="159">
        <f>road_ter!R32</f>
        <v>8.9629999999999992</v>
      </c>
      <c r="L31" s="159">
        <f>rail_tkm!AI32</f>
        <v>4.726</v>
      </c>
      <c r="M31" s="159" t="str">
        <f>iww!AI31</f>
        <v>-</v>
      </c>
      <c r="N31" s="179" t="str">
        <f>pipeline!AI31</f>
        <v>-</v>
      </c>
      <c r="O31" s="502">
        <f t="shared" si="4"/>
        <v>13.689</v>
      </c>
    </row>
    <row r="32" spans="2:19" x14ac:dyDescent="0.2">
      <c r="B32" s="17" t="s">
        <v>15</v>
      </c>
      <c r="C32" s="167">
        <f t="shared" si="3"/>
        <v>57.622092643904701</v>
      </c>
      <c r="D32" s="167">
        <f t="shared" si="0"/>
        <v>24.155192425759676</v>
      </c>
      <c r="E32" s="167">
        <f t="shared" si="1"/>
        <v>2.9162464509385591</v>
      </c>
      <c r="F32" s="437">
        <f t="shared" si="2"/>
        <v>15.306468479397067</v>
      </c>
      <c r="G32" s="17" t="s">
        <v>15</v>
      </c>
      <c r="J32" s="17" t="s">
        <v>15</v>
      </c>
      <c r="K32" s="167">
        <f>road_ter!R33</f>
        <v>16.478999999999999</v>
      </c>
      <c r="L32" s="167">
        <f>rail_tkm!AI33</f>
        <v>6.9080000000000004</v>
      </c>
      <c r="M32" s="167">
        <f>iww!AI32</f>
        <v>0.83399999999999996</v>
      </c>
      <c r="N32" s="437">
        <f>pipeline!AI32</f>
        <v>4.3774059999999997</v>
      </c>
      <c r="O32" s="500">
        <f t="shared" si="4"/>
        <v>28.598406000000001</v>
      </c>
    </row>
    <row r="33" spans="2:15" x14ac:dyDescent="0.2">
      <c r="B33" s="193" t="s">
        <v>31</v>
      </c>
      <c r="C33" s="159">
        <f t="shared" si="3"/>
        <v>73.820333622404732</v>
      </c>
      <c r="D33" s="159">
        <f t="shared" si="0"/>
        <v>25.855736366882621</v>
      </c>
      <c r="E33" s="159">
        <f t="shared" si="1"/>
        <v>0.32393001071264599</v>
      </c>
      <c r="F33" s="179" t="s">
        <v>35</v>
      </c>
      <c r="G33" s="193" t="s">
        <v>31</v>
      </c>
      <c r="J33" s="193" t="s">
        <v>31</v>
      </c>
      <c r="K33" s="159">
        <f>road_ter!R34</f>
        <v>28.942</v>
      </c>
      <c r="L33" s="159">
        <f>rail_tkm!AI34</f>
        <v>10.137</v>
      </c>
      <c r="M33" s="159">
        <f>iww!AI33</f>
        <v>0.127</v>
      </c>
      <c r="N33" s="179" t="str">
        <f>pipeline!AI33</f>
        <v>-</v>
      </c>
      <c r="O33" s="502">
        <f t="shared" si="4"/>
        <v>39.206000000000003</v>
      </c>
    </row>
    <row r="34" spans="2:15" x14ac:dyDescent="0.2">
      <c r="B34" s="18" t="s">
        <v>32</v>
      </c>
      <c r="C34" s="446">
        <f t="shared" si="3"/>
        <v>70.235586280958458</v>
      </c>
      <c r="D34" s="447">
        <f t="shared" si="0"/>
        <v>29.658366333310966</v>
      </c>
      <c r="E34" s="447">
        <f t="shared" si="1"/>
        <v>0.10604738573058597</v>
      </c>
      <c r="F34" s="448" t="s">
        <v>35</v>
      </c>
      <c r="G34" s="17" t="s">
        <v>32</v>
      </c>
      <c r="J34" s="18" t="s">
        <v>32</v>
      </c>
      <c r="K34" s="446">
        <f>road_ter!R35</f>
        <v>52.322000000000003</v>
      </c>
      <c r="L34" s="447">
        <f>rail_tkm!AI35</f>
        <v>22.094000000000001</v>
      </c>
      <c r="M34" s="447">
        <f>iww!AI34</f>
        <v>7.9000000000000001E-2</v>
      </c>
      <c r="N34" s="448" t="str">
        <f>pipeline!AI34</f>
        <v>-</v>
      </c>
      <c r="O34" s="503">
        <f t="shared" si="4"/>
        <v>74.49499999999999</v>
      </c>
    </row>
    <row r="35" spans="2:15" x14ac:dyDescent="0.2">
      <c r="B35" s="207" t="s">
        <v>3</v>
      </c>
      <c r="C35" s="159"/>
      <c r="D35" s="159"/>
      <c r="E35" s="159"/>
      <c r="F35" s="179"/>
      <c r="G35" s="207" t="s">
        <v>3</v>
      </c>
      <c r="J35" s="207" t="s">
        <v>3</v>
      </c>
      <c r="K35" s="159"/>
      <c r="L35" s="159"/>
      <c r="M35" s="159"/>
      <c r="N35" s="179"/>
      <c r="O35" s="207"/>
    </row>
    <row r="36" spans="2:15" x14ac:dyDescent="0.2">
      <c r="B36" s="17" t="s">
        <v>33</v>
      </c>
      <c r="C36" s="167">
        <f>K36/O36*100</f>
        <v>62.811785133533604</v>
      </c>
      <c r="D36" s="167">
        <f>L36/O36*100</f>
        <v>11.327618995121682</v>
      </c>
      <c r="E36" s="167" t="s">
        <v>35</v>
      </c>
      <c r="F36" s="437">
        <f>N36/O36*100</f>
        <v>25.860595871344707</v>
      </c>
      <c r="G36" s="17" t="s">
        <v>33</v>
      </c>
      <c r="J36" s="17" t="s">
        <v>33</v>
      </c>
      <c r="K36" s="167">
        <f>road_ter!R37</f>
        <v>22.79</v>
      </c>
      <c r="L36" s="167">
        <f>rail_tkm!AI37</f>
        <v>4.1100000000000003</v>
      </c>
      <c r="M36" s="167" t="str">
        <f>iww!AI36</f>
        <v>-</v>
      </c>
      <c r="N36" s="437">
        <f>pipeline!AI36</f>
        <v>9.3829999999999991</v>
      </c>
      <c r="O36" s="17">
        <f>SUM(K36:N36)</f>
        <v>36.283000000000001</v>
      </c>
    </row>
    <row r="37" spans="2:15" x14ac:dyDescent="0.2">
      <c r="B37" s="215" t="s">
        <v>4</v>
      </c>
      <c r="C37" s="449">
        <f>K37/O37*100</f>
        <v>67.216712016150282</v>
      </c>
      <c r="D37" s="450">
        <f>L37/O37*100</f>
        <v>32.379531291143692</v>
      </c>
      <c r="E37" s="450">
        <f>M37/O37*100</f>
        <v>0.11117937915094064</v>
      </c>
      <c r="F37" s="308">
        <f>N37/O37*100</f>
        <v>0.29257731355510697</v>
      </c>
      <c r="G37" s="215" t="s">
        <v>4</v>
      </c>
      <c r="J37" s="215" t="s">
        <v>4</v>
      </c>
      <c r="K37" s="449">
        <f>road_ter!R38</f>
        <v>22.974</v>
      </c>
      <c r="L37" s="450">
        <f>rail_tkm!AI38</f>
        <v>11.067</v>
      </c>
      <c r="M37" s="450">
        <f>iww!AI37</f>
        <v>3.7999999999999999E-2</v>
      </c>
      <c r="N37" s="308">
        <f>pipeline!AI37</f>
        <v>0.1</v>
      </c>
      <c r="O37" s="215">
        <f>SUM(K37:N37)</f>
        <v>34.178999999999995</v>
      </c>
    </row>
    <row r="38" spans="2:15" x14ac:dyDescent="0.2">
      <c r="B38" s="17" t="s">
        <v>96</v>
      </c>
      <c r="C38" s="167"/>
      <c r="D38" s="167"/>
      <c r="E38" s="167"/>
      <c r="F38" s="437"/>
      <c r="G38" s="17" t="s">
        <v>96</v>
      </c>
      <c r="J38" s="17" t="s">
        <v>96</v>
      </c>
      <c r="K38" s="167"/>
      <c r="L38" s="167"/>
      <c r="M38" s="167"/>
      <c r="N38" s="437"/>
      <c r="O38" s="17"/>
    </row>
    <row r="39" spans="2:15" x14ac:dyDescent="0.2">
      <c r="B39" s="193" t="s">
        <v>2</v>
      </c>
      <c r="C39" s="159"/>
      <c r="D39" s="159"/>
      <c r="E39" s="159"/>
      <c r="F39" s="179"/>
      <c r="G39" s="193" t="s">
        <v>2</v>
      </c>
      <c r="J39" s="193" t="s">
        <v>2</v>
      </c>
      <c r="K39" s="159"/>
      <c r="L39" s="159"/>
      <c r="M39" s="159"/>
      <c r="N39" s="179"/>
      <c r="O39" s="193"/>
    </row>
    <row r="40" spans="2:15" x14ac:dyDescent="0.2">
      <c r="B40" s="17" t="s">
        <v>100</v>
      </c>
      <c r="C40" s="167"/>
      <c r="D40" s="167"/>
      <c r="E40" s="167"/>
      <c r="F40" s="437"/>
      <c r="G40" s="17" t="s">
        <v>100</v>
      </c>
      <c r="J40" s="17" t="s">
        <v>100</v>
      </c>
      <c r="K40" s="167"/>
      <c r="L40" s="167"/>
      <c r="M40" s="167"/>
      <c r="N40" s="437"/>
      <c r="O40" s="17"/>
    </row>
    <row r="41" spans="2:15" x14ac:dyDescent="0.2">
      <c r="B41" s="193" t="s">
        <v>97</v>
      </c>
      <c r="C41" s="159"/>
      <c r="D41" s="159"/>
      <c r="E41" s="159"/>
      <c r="F41" s="179"/>
      <c r="G41" s="193" t="s">
        <v>97</v>
      </c>
      <c r="J41" s="193" t="s">
        <v>97</v>
      </c>
      <c r="K41" s="159"/>
      <c r="L41" s="159"/>
      <c r="M41" s="159"/>
      <c r="N41" s="179"/>
      <c r="O41" s="193"/>
    </row>
    <row r="42" spans="2:15" x14ac:dyDescent="0.2">
      <c r="B42" s="18" t="s">
        <v>17</v>
      </c>
      <c r="C42" s="446"/>
      <c r="D42" s="447"/>
      <c r="E42" s="447"/>
      <c r="F42" s="448"/>
      <c r="G42" s="18" t="s">
        <v>17</v>
      </c>
      <c r="J42" s="18" t="s">
        <v>17</v>
      </c>
      <c r="K42" s="446"/>
      <c r="L42" s="447"/>
      <c r="M42" s="447"/>
      <c r="N42" s="448"/>
      <c r="O42" s="18"/>
    </row>
    <row r="43" spans="2:15" x14ac:dyDescent="0.2">
      <c r="E43" s="328"/>
    </row>
    <row r="44" spans="2:15" x14ac:dyDescent="0.2">
      <c r="B44" s="268" t="s">
        <v>105</v>
      </c>
    </row>
    <row r="46" spans="2:15" x14ac:dyDescent="0.2">
      <c r="B46" s="333"/>
      <c r="C46" s="334"/>
      <c r="D46" s="334"/>
      <c r="E46" s="334"/>
      <c r="F46" s="334"/>
      <c r="G46" s="333"/>
      <c r="H46" s="333"/>
      <c r="I46" s="333"/>
    </row>
    <row r="47" spans="2:15" x14ac:dyDescent="0.2">
      <c r="B47" s="333"/>
      <c r="C47" s="334"/>
      <c r="D47" s="334"/>
      <c r="E47" s="334"/>
      <c r="F47" s="334"/>
      <c r="G47" s="333"/>
      <c r="H47" s="333"/>
      <c r="I47" s="333"/>
    </row>
    <row r="51" spans="5:19" x14ac:dyDescent="0.2">
      <c r="M51" s="304"/>
      <c r="Q51" s="304"/>
    </row>
    <row r="52" spans="5:19" x14ac:dyDescent="0.2">
      <c r="E52" s="363"/>
      <c r="I52" s="304"/>
    </row>
    <row r="61" spans="5:19" x14ac:dyDescent="0.2">
      <c r="S61" s="304"/>
    </row>
  </sheetData>
  <mergeCells count="4">
    <mergeCell ref="B2:G3"/>
    <mergeCell ref="B4:G4"/>
    <mergeCell ref="B5:G5"/>
    <mergeCell ref="K4:N4"/>
  </mergeCells>
  <phoneticPr fontId="5" type="noConversion"/>
  <printOptions horizontalCentered="1"/>
  <pageMargins left="0.6692913385826772" right="0.27559055118110237" top="0.51181102362204722" bottom="0.27559055118110237" header="0" footer="0"/>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AE84"/>
  <sheetViews>
    <sheetView topLeftCell="S19" zoomScaleNormal="100" workbookViewId="0">
      <selection activeCell="AG17" sqref="AG17"/>
    </sheetView>
  </sheetViews>
  <sheetFormatPr defaultRowHeight="12.75" x14ac:dyDescent="0.2"/>
  <cols>
    <col min="1" max="1" width="3.7109375" customWidth="1"/>
    <col min="2" max="2" width="5.5703125" customWidth="1"/>
    <col min="3" max="3" width="7.7109375" customWidth="1"/>
    <col min="4" max="7" width="6.7109375" customWidth="1"/>
    <col min="8" max="13" width="7.7109375" customWidth="1"/>
    <col min="14" max="28" width="8.28515625" customWidth="1"/>
    <col min="29" max="29" width="6.42578125" customWidth="1"/>
    <col min="30" max="30" width="7.140625" style="350" customWidth="1"/>
    <col min="31" max="31" width="6" customWidth="1"/>
  </cols>
  <sheetData>
    <row r="1" spans="1:31" ht="14.25" customHeight="1" x14ac:dyDescent="0.2">
      <c r="B1" s="37"/>
      <c r="C1" s="38"/>
      <c r="D1" s="38"/>
      <c r="E1" s="38"/>
      <c r="F1" s="38"/>
      <c r="G1" s="38"/>
      <c r="H1" s="38"/>
      <c r="I1" s="38"/>
      <c r="J1" s="38"/>
      <c r="AC1" s="39" t="s">
        <v>78</v>
      </c>
    </row>
    <row r="2" spans="1:31" s="80" customFormat="1" ht="33" customHeight="1" x14ac:dyDescent="0.2">
      <c r="B2" s="546" t="s">
        <v>136</v>
      </c>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8" t="s">
        <v>90</v>
      </c>
      <c r="AE2" s="135"/>
    </row>
    <row r="3" spans="1:31" ht="27.75" customHeight="1" x14ac:dyDescent="0.2">
      <c r="B3" s="566" t="s">
        <v>128</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9"/>
      <c r="AE3" s="136"/>
    </row>
    <row r="4" spans="1:31" ht="10.5" customHeight="1" x14ac:dyDescent="0.2">
      <c r="B4" s="4"/>
      <c r="D4" s="54"/>
      <c r="E4" s="54"/>
      <c r="F4" s="54"/>
      <c r="G4" s="54"/>
      <c r="H4" s="54"/>
      <c r="Q4" s="178"/>
      <c r="R4" s="21"/>
      <c r="S4" s="21"/>
      <c r="T4" s="21"/>
      <c r="U4" s="21"/>
      <c r="V4" s="21"/>
      <c r="W4" s="21"/>
      <c r="Y4" s="22"/>
      <c r="Z4" s="573" t="s">
        <v>95</v>
      </c>
      <c r="AA4" s="573"/>
      <c r="AB4" s="573"/>
      <c r="AC4" s="314"/>
      <c r="AD4" s="569"/>
      <c r="AE4" s="6"/>
    </row>
    <row r="5" spans="1:31" ht="20.100000000000001" customHeight="1" x14ac:dyDescent="0.2">
      <c r="B5" s="4"/>
      <c r="C5" s="84">
        <v>1995</v>
      </c>
      <c r="D5" s="85">
        <v>1996</v>
      </c>
      <c r="E5" s="85">
        <v>1997</v>
      </c>
      <c r="F5" s="85">
        <v>1998</v>
      </c>
      <c r="G5" s="85">
        <v>1999</v>
      </c>
      <c r="H5" s="85">
        <v>2000</v>
      </c>
      <c r="I5" s="85">
        <v>2001</v>
      </c>
      <c r="J5" s="85">
        <v>2002</v>
      </c>
      <c r="K5" s="85">
        <v>2003</v>
      </c>
      <c r="L5" s="85">
        <v>2004</v>
      </c>
      <c r="M5" s="85">
        <v>2005</v>
      </c>
      <c r="N5" s="85">
        <v>2006</v>
      </c>
      <c r="O5" s="85">
        <v>2007</v>
      </c>
      <c r="P5" s="85">
        <v>2008</v>
      </c>
      <c r="Q5" s="85">
        <v>2009</v>
      </c>
      <c r="R5" s="85">
        <v>2010</v>
      </c>
      <c r="S5" s="85">
        <v>2011</v>
      </c>
      <c r="T5" s="85">
        <v>2012</v>
      </c>
      <c r="U5" s="85">
        <v>2013</v>
      </c>
      <c r="V5" s="85">
        <v>2014</v>
      </c>
      <c r="W5" s="85">
        <v>2015</v>
      </c>
      <c r="X5" s="85">
        <v>2016</v>
      </c>
      <c r="Y5" s="303">
        <v>2017</v>
      </c>
      <c r="Z5" s="303">
        <v>2018</v>
      </c>
      <c r="AA5" s="303">
        <v>2019</v>
      </c>
      <c r="AB5" s="303">
        <v>2020</v>
      </c>
      <c r="AC5" s="338"/>
      <c r="AD5" s="570"/>
      <c r="AE5" s="99" t="s">
        <v>146</v>
      </c>
    </row>
    <row r="6" spans="1:31" ht="9.75" customHeight="1" x14ac:dyDescent="0.2">
      <c r="B6" s="4"/>
      <c r="C6" s="86"/>
      <c r="D6" s="82"/>
      <c r="E6" s="82"/>
      <c r="F6" s="82"/>
      <c r="G6" s="82"/>
      <c r="H6" s="82"/>
      <c r="I6" s="82"/>
      <c r="J6" s="82"/>
      <c r="K6" s="82"/>
      <c r="L6" s="82"/>
      <c r="M6" s="82"/>
      <c r="N6" s="82"/>
      <c r="O6" s="82"/>
      <c r="P6" s="82"/>
      <c r="Q6" s="82"/>
      <c r="R6" s="82"/>
      <c r="S6" s="82"/>
      <c r="T6" s="82"/>
      <c r="U6" s="83"/>
      <c r="V6" s="82"/>
      <c r="W6" s="82"/>
      <c r="X6" s="82"/>
      <c r="Y6" s="83"/>
      <c r="Z6" s="82"/>
      <c r="AA6" s="82"/>
      <c r="AB6" s="82"/>
      <c r="AC6" s="338"/>
      <c r="AD6" s="349" t="s">
        <v>145</v>
      </c>
      <c r="AE6" s="100" t="s">
        <v>63</v>
      </c>
    </row>
    <row r="7" spans="1:31" ht="9.75" customHeight="1" x14ac:dyDescent="0.2">
      <c r="B7" s="279" t="s">
        <v>112</v>
      </c>
      <c r="C7" s="280"/>
      <c r="D7" s="281"/>
      <c r="E7" s="281"/>
      <c r="F7" s="281"/>
      <c r="G7" s="281"/>
      <c r="H7" s="281">
        <f>SUM(H9:H35)</f>
        <v>936.07299999999998</v>
      </c>
      <c r="I7" s="281">
        <f t="shared" ref="I7:V7" si="0">SUM(I9:I35)</f>
        <v>953.8069999999999</v>
      </c>
      <c r="J7" s="281">
        <f t="shared" si="0"/>
        <v>978.56900000000019</v>
      </c>
      <c r="K7" s="281">
        <f t="shared" si="0"/>
        <v>973.49199999999973</v>
      </c>
      <c r="L7" s="281">
        <f t="shared" si="0"/>
        <v>1048.453</v>
      </c>
      <c r="M7" s="281">
        <f t="shared" si="0"/>
        <v>1074.6080000000002</v>
      </c>
      <c r="N7" s="281">
        <f t="shared" si="0"/>
        <v>1097.1959999999997</v>
      </c>
      <c r="O7" s="281">
        <f t="shared" si="0"/>
        <v>1137.0639999999999</v>
      </c>
      <c r="P7" s="281">
        <f t="shared" si="0"/>
        <v>1124.6369999999999</v>
      </c>
      <c r="Q7" s="281">
        <f t="shared" si="0"/>
        <v>1027.075</v>
      </c>
      <c r="R7" s="281">
        <f t="shared" si="0"/>
        <v>1035.4199999999998</v>
      </c>
      <c r="S7" s="281">
        <f t="shared" si="0"/>
        <v>1025.319</v>
      </c>
      <c r="T7" s="281">
        <f t="shared" si="0"/>
        <v>968.17500000000007</v>
      </c>
      <c r="U7" s="281">
        <f t="shared" si="0"/>
        <v>974.07</v>
      </c>
      <c r="V7" s="281">
        <f t="shared" si="0"/>
        <v>978.16400000000021</v>
      </c>
      <c r="W7" s="281">
        <f>SUM(W9:W35)</f>
        <v>1002.5509999999999</v>
      </c>
      <c r="X7" s="281">
        <f t="shared" ref="X7:AB7" si="1">SUM(X9:X35)</f>
        <v>1028.7930000000001</v>
      </c>
      <c r="Y7" s="281">
        <f t="shared" si="1"/>
        <v>1071.29</v>
      </c>
      <c r="Z7" s="281">
        <f t="shared" si="1"/>
        <v>1088.595</v>
      </c>
      <c r="AA7" s="281">
        <f t="shared" si="1"/>
        <v>1117.82</v>
      </c>
      <c r="AB7" s="281">
        <f t="shared" si="1"/>
        <v>1108.2590000000002</v>
      </c>
      <c r="AC7" s="283" t="s">
        <v>112</v>
      </c>
      <c r="AD7" s="351">
        <f>AB7/road_by_tot!AB7*100</f>
        <v>61.452501885285912</v>
      </c>
      <c r="AE7" s="351">
        <f>AB7/AA7*100-100</f>
        <v>-0.85532554436311159</v>
      </c>
    </row>
    <row r="8" spans="1:31" ht="12.75" customHeight="1" x14ac:dyDescent="0.2">
      <c r="B8" s="279" t="s">
        <v>99</v>
      </c>
      <c r="C8" s="280"/>
      <c r="D8" s="281"/>
      <c r="E8" s="281"/>
      <c r="F8" s="281"/>
      <c r="G8" s="281"/>
      <c r="H8" s="281">
        <f t="shared" ref="H8:AA8" si="2">H7+H44</f>
        <v>1086.4099999999999</v>
      </c>
      <c r="I8" s="281">
        <f t="shared" si="2"/>
        <v>1103.567</v>
      </c>
      <c r="J8" s="281">
        <f t="shared" si="2"/>
        <v>1129.4890000000003</v>
      </c>
      <c r="K8" s="281">
        <f t="shared" si="2"/>
        <v>1127.4249999999997</v>
      </c>
      <c r="L8" s="281">
        <f t="shared" si="2"/>
        <v>1199.6320000000001</v>
      </c>
      <c r="M8" s="281">
        <f t="shared" si="2"/>
        <v>1225.8260000000002</v>
      </c>
      <c r="N8" s="281">
        <f t="shared" si="2"/>
        <v>1251.9659999999997</v>
      </c>
      <c r="O8" s="281">
        <f t="shared" si="2"/>
        <v>1297.7719999999999</v>
      </c>
      <c r="P8" s="281">
        <f t="shared" si="2"/>
        <v>1275.7819999999999</v>
      </c>
      <c r="Q8" s="281">
        <f t="shared" si="2"/>
        <v>1158.691</v>
      </c>
      <c r="R8" s="281">
        <f t="shared" si="2"/>
        <v>1173.1729999999998</v>
      </c>
      <c r="S8" s="281">
        <f t="shared" si="2"/>
        <v>1165.2349999999999</v>
      </c>
      <c r="T8" s="281">
        <f t="shared" si="2"/>
        <v>1110.7270000000001</v>
      </c>
      <c r="U8" s="281">
        <f t="shared" si="2"/>
        <v>1105.404</v>
      </c>
      <c r="V8" s="281">
        <f t="shared" si="2"/>
        <v>1105.8360000000002</v>
      </c>
      <c r="W8" s="281">
        <f t="shared" si="2"/>
        <v>1145.4189999999999</v>
      </c>
      <c r="X8" s="281">
        <f t="shared" si="2"/>
        <v>1177.5140000000001</v>
      </c>
      <c r="Y8" s="281">
        <f t="shared" si="2"/>
        <v>1218.6389999999999</v>
      </c>
      <c r="Z8" s="281">
        <f t="shared" si="2"/>
        <v>1240.511</v>
      </c>
      <c r="AA8" s="281">
        <f t="shared" si="2"/>
        <v>1272.239</v>
      </c>
      <c r="AB8" s="281"/>
      <c r="AC8" s="283" t="s">
        <v>99</v>
      </c>
      <c r="AD8" s="351"/>
      <c r="AE8" s="351"/>
    </row>
    <row r="9" spans="1:31" ht="12.75" customHeight="1" x14ac:dyDescent="0.2">
      <c r="A9" s="15"/>
      <c r="B9" s="17" t="s">
        <v>22</v>
      </c>
      <c r="C9" s="160">
        <v>18.616</v>
      </c>
      <c r="D9" s="161">
        <v>16.614999999999998</v>
      </c>
      <c r="E9" s="161">
        <v>18.425999999999998</v>
      </c>
      <c r="F9" s="161">
        <v>16.693000000000001</v>
      </c>
      <c r="G9" s="161">
        <v>15.757999999999999</v>
      </c>
      <c r="H9" s="161">
        <v>19.754000000000001</v>
      </c>
      <c r="I9" s="161">
        <v>20.565000000000001</v>
      </c>
      <c r="J9" s="161">
        <v>20.391999999999999</v>
      </c>
      <c r="K9" s="161">
        <v>19.584</v>
      </c>
      <c r="L9" s="161">
        <v>19.416</v>
      </c>
      <c r="M9" s="161">
        <v>19.283000000000001</v>
      </c>
      <c r="N9" s="161">
        <v>19.614999999999998</v>
      </c>
      <c r="O9" s="161">
        <v>19.649999999999999</v>
      </c>
      <c r="P9" s="161">
        <v>18.207000000000001</v>
      </c>
      <c r="Q9" s="161">
        <v>17.603000000000002</v>
      </c>
      <c r="R9" s="161">
        <v>17.754999999999999</v>
      </c>
      <c r="S9" s="161">
        <v>17.75</v>
      </c>
      <c r="T9" s="161">
        <v>18.186</v>
      </c>
      <c r="U9" s="161">
        <v>18.98</v>
      </c>
      <c r="V9" s="405">
        <v>19.167000000000002</v>
      </c>
      <c r="W9" s="161">
        <v>21.277000000000001</v>
      </c>
      <c r="X9" s="161">
        <v>21.428000000000001</v>
      </c>
      <c r="Y9" s="161">
        <v>20.632000000000001</v>
      </c>
      <c r="Z9" s="148">
        <v>20.591999999999999</v>
      </c>
      <c r="AA9" s="148">
        <v>21.727</v>
      </c>
      <c r="AB9" s="148">
        <v>21.536999999999999</v>
      </c>
      <c r="AC9" s="175" t="s">
        <v>22</v>
      </c>
      <c r="AD9" s="175">
        <f>AB9/road_by_tot!AB9*100</f>
        <v>62.645801215858519</v>
      </c>
      <c r="AE9" s="175">
        <f t="shared" ref="AE9:AE43" si="3">AB9/AA9*100-100</f>
        <v>-0.8744879642840715</v>
      </c>
    </row>
    <row r="10" spans="1:31" ht="12.75" customHeight="1" x14ac:dyDescent="0.2">
      <c r="A10" s="15"/>
      <c r="B10" s="88" t="s">
        <v>5</v>
      </c>
      <c r="C10" s="150"/>
      <c r="D10" s="151"/>
      <c r="E10" s="151"/>
      <c r="F10" s="151"/>
      <c r="G10" s="151"/>
      <c r="H10" s="151">
        <v>3.0609999999999999</v>
      </c>
      <c r="I10" s="151">
        <v>3.31</v>
      </c>
      <c r="J10" s="151">
        <v>3.931</v>
      </c>
      <c r="K10" s="151">
        <v>4.5860000000000003</v>
      </c>
      <c r="L10" s="151">
        <v>4.6120000000000001</v>
      </c>
      <c r="M10" s="151">
        <v>5.0449999999999999</v>
      </c>
      <c r="N10" s="151">
        <v>5.806</v>
      </c>
      <c r="O10" s="151">
        <v>5.89</v>
      </c>
      <c r="P10" s="151">
        <v>7.1219999999999999</v>
      </c>
      <c r="Q10" s="151">
        <v>6.306</v>
      </c>
      <c r="R10" s="151">
        <v>6.12</v>
      </c>
      <c r="S10" s="151">
        <v>6.5179999999999998</v>
      </c>
      <c r="T10" s="151">
        <v>6.2859999999999996</v>
      </c>
      <c r="U10" s="151">
        <v>7.1920000000000002</v>
      </c>
      <c r="V10" s="151">
        <v>6.8259999999999996</v>
      </c>
      <c r="W10" s="151">
        <v>7.1719999999999997</v>
      </c>
      <c r="X10" s="151">
        <v>7.3239999999999998</v>
      </c>
      <c r="Y10" s="151">
        <v>8.3279999999999994</v>
      </c>
      <c r="Z10" s="151">
        <v>7.734</v>
      </c>
      <c r="AA10" s="151">
        <v>5.7190000000000003</v>
      </c>
      <c r="AB10" s="151">
        <v>7.41</v>
      </c>
      <c r="AC10" s="339" t="s">
        <v>5</v>
      </c>
      <c r="AD10" s="339">
        <f>AB10/road_by_tot!AB10*100</f>
        <v>22.753792298716451</v>
      </c>
      <c r="AE10" s="339">
        <f t="shared" si="3"/>
        <v>29.568106312292372</v>
      </c>
    </row>
    <row r="11" spans="1:31" ht="12.75" customHeight="1" x14ac:dyDescent="0.2">
      <c r="A11" s="15"/>
      <c r="B11" s="17" t="s">
        <v>7</v>
      </c>
      <c r="C11" s="114" t="s">
        <v>34</v>
      </c>
      <c r="D11" s="57" t="s">
        <v>34</v>
      </c>
      <c r="E11" s="57" t="s">
        <v>34</v>
      </c>
      <c r="F11" s="57" t="s">
        <v>34</v>
      </c>
      <c r="G11" s="57"/>
      <c r="H11" s="57">
        <v>14.214</v>
      </c>
      <c r="I11" s="57">
        <v>15.007</v>
      </c>
      <c r="J11" s="57">
        <v>16.318000000000001</v>
      </c>
      <c r="K11" s="57">
        <v>17.361999999999998</v>
      </c>
      <c r="L11" s="57">
        <v>16.045999999999999</v>
      </c>
      <c r="M11" s="57">
        <v>15.518000000000001</v>
      </c>
      <c r="N11" s="57">
        <v>16.082000000000001</v>
      </c>
      <c r="O11" s="57">
        <v>15.831</v>
      </c>
      <c r="P11" s="57">
        <v>15.747999999999999</v>
      </c>
      <c r="Q11" s="57">
        <v>13.48</v>
      </c>
      <c r="R11" s="57">
        <v>14.762</v>
      </c>
      <c r="S11" s="57">
        <v>14.984999999999999</v>
      </c>
      <c r="T11" s="57">
        <v>14.403</v>
      </c>
      <c r="U11" s="57">
        <v>15.391999999999999</v>
      </c>
      <c r="V11" s="57">
        <v>16.812999999999999</v>
      </c>
      <c r="W11" s="57">
        <v>21.184000000000001</v>
      </c>
      <c r="X11" s="57">
        <v>22.303999999999998</v>
      </c>
      <c r="Y11" s="57">
        <v>21.899000000000001</v>
      </c>
      <c r="Z11" s="57">
        <v>23.542999999999999</v>
      </c>
      <c r="AA11" s="57">
        <v>25.012</v>
      </c>
      <c r="AB11" s="57">
        <v>28.271000000000001</v>
      </c>
      <c r="AC11" s="175" t="s">
        <v>7</v>
      </c>
      <c r="AD11" s="175">
        <f>AB11/road_by_tot!AB11*100</f>
        <v>50.402923872348012</v>
      </c>
      <c r="AE11" s="175">
        <f t="shared" si="3"/>
        <v>13.02974572205342</v>
      </c>
    </row>
    <row r="12" spans="1:31" ht="12.75" customHeight="1" x14ac:dyDescent="0.2">
      <c r="A12" s="15"/>
      <c r="B12" s="88" t="s">
        <v>18</v>
      </c>
      <c r="C12" s="150">
        <v>9.327</v>
      </c>
      <c r="D12" s="151">
        <v>9.4320000000000004</v>
      </c>
      <c r="E12" s="151">
        <v>9.7119999999999997</v>
      </c>
      <c r="F12" s="151">
        <v>10.108000000000001</v>
      </c>
      <c r="G12" s="151">
        <v>10.420999999999999</v>
      </c>
      <c r="H12" s="151">
        <v>11</v>
      </c>
      <c r="I12" s="151">
        <v>10.887</v>
      </c>
      <c r="J12" s="151">
        <v>11.057</v>
      </c>
      <c r="K12" s="151">
        <v>11.012</v>
      </c>
      <c r="L12" s="151">
        <v>10.538</v>
      </c>
      <c r="M12" s="151">
        <v>11.058</v>
      </c>
      <c r="N12" s="151">
        <v>11.494999999999999</v>
      </c>
      <c r="O12" s="151">
        <v>11.8</v>
      </c>
      <c r="P12" s="151">
        <v>10.718</v>
      </c>
      <c r="Q12" s="151">
        <v>10.002000000000001</v>
      </c>
      <c r="R12" s="151">
        <v>10.573</v>
      </c>
      <c r="S12" s="151">
        <v>12.025</v>
      </c>
      <c r="T12" s="151">
        <v>12.292</v>
      </c>
      <c r="U12" s="151">
        <v>12.217000000000001</v>
      </c>
      <c r="V12" s="151">
        <v>12.943</v>
      </c>
      <c r="W12" s="151">
        <v>12.532</v>
      </c>
      <c r="X12" s="151">
        <v>13.037000000000001</v>
      </c>
      <c r="Y12" s="151">
        <v>12.577</v>
      </c>
      <c r="Z12" s="151">
        <v>12.074999999999999</v>
      </c>
      <c r="AA12" s="151">
        <v>12.164999999999999</v>
      </c>
      <c r="AB12" s="151">
        <v>12.407</v>
      </c>
      <c r="AC12" s="339" t="s">
        <v>18</v>
      </c>
      <c r="AD12" s="339">
        <f>AB12/road_by_tot!AB12*100</f>
        <v>84.48181941985564</v>
      </c>
      <c r="AE12" s="339">
        <f t="shared" si="3"/>
        <v>1.9893136046033675</v>
      </c>
    </row>
    <row r="13" spans="1:31" ht="12.75" customHeight="1" x14ac:dyDescent="0.2">
      <c r="A13" s="15"/>
      <c r="B13" s="17" t="s">
        <v>23</v>
      </c>
      <c r="C13" s="114">
        <v>201.29900000000001</v>
      </c>
      <c r="D13" s="57">
        <v>199.19499999999999</v>
      </c>
      <c r="E13" s="57">
        <v>203.119</v>
      </c>
      <c r="F13" s="57">
        <v>210.40199999999999</v>
      </c>
      <c r="G13" s="57">
        <v>226.887</v>
      </c>
      <c r="H13" s="57">
        <v>226.529</v>
      </c>
      <c r="I13" s="57">
        <v>230.01599999999999</v>
      </c>
      <c r="J13" s="57">
        <v>225.47399999999999</v>
      </c>
      <c r="K13" s="57">
        <v>227.20500000000001</v>
      </c>
      <c r="L13" s="57">
        <v>232.303</v>
      </c>
      <c r="M13" s="57">
        <v>237.61699999999999</v>
      </c>
      <c r="N13" s="57">
        <v>251.37899999999999</v>
      </c>
      <c r="O13" s="57">
        <v>261.44</v>
      </c>
      <c r="P13" s="57">
        <v>264.54500000000002</v>
      </c>
      <c r="Q13" s="57">
        <v>245.56800000000001</v>
      </c>
      <c r="R13" s="57">
        <v>252.46199999999999</v>
      </c>
      <c r="S13" s="57">
        <v>265.02499999999998</v>
      </c>
      <c r="T13" s="57">
        <v>254.499</v>
      </c>
      <c r="U13" s="57">
        <v>256.721</v>
      </c>
      <c r="V13" s="57">
        <v>263.03199999999998</v>
      </c>
      <c r="W13" s="57">
        <v>269.64999999999998</v>
      </c>
      <c r="X13" s="57">
        <v>271.67899999999997</v>
      </c>
      <c r="Y13" s="57">
        <v>271.666</v>
      </c>
      <c r="Z13" s="57">
        <v>276.15100000000001</v>
      </c>
      <c r="AA13" s="57">
        <v>274.03699999999998</v>
      </c>
      <c r="AB13" s="57">
        <v>269.928</v>
      </c>
      <c r="AC13" s="175" t="s">
        <v>23</v>
      </c>
      <c r="AD13" s="175">
        <f>AB13/road_by_tot!AB13*100</f>
        <v>88.613420963648963</v>
      </c>
      <c r="AE13" s="175">
        <f t="shared" si="3"/>
        <v>-1.4994325583771513</v>
      </c>
    </row>
    <row r="14" spans="1:31" ht="12.75" customHeight="1" x14ac:dyDescent="0.2">
      <c r="A14" s="15"/>
      <c r="B14" s="88" t="s">
        <v>8</v>
      </c>
      <c r="C14" s="150">
        <v>0.44900000000000001</v>
      </c>
      <c r="D14" s="151">
        <v>0.442</v>
      </c>
      <c r="E14" s="151">
        <v>0.51</v>
      </c>
      <c r="F14" s="151">
        <v>0.53800000000000003</v>
      </c>
      <c r="G14" s="151">
        <v>0.73399999999999999</v>
      </c>
      <c r="H14" s="151">
        <v>0.71499999999999997</v>
      </c>
      <c r="I14" s="151">
        <v>0.54800000000000004</v>
      </c>
      <c r="J14" s="157">
        <v>0.76200000000000001</v>
      </c>
      <c r="K14" s="151">
        <v>1.5680000000000001</v>
      </c>
      <c r="L14" s="151">
        <v>1.478</v>
      </c>
      <c r="M14" s="151">
        <v>1.847</v>
      </c>
      <c r="N14" s="151">
        <v>1.9790000000000001</v>
      </c>
      <c r="O14" s="151">
        <v>1.9419999999999999</v>
      </c>
      <c r="P14" s="151">
        <v>1.8320000000000001</v>
      </c>
      <c r="Q14" s="151">
        <v>1.3260000000000001</v>
      </c>
      <c r="R14" s="151">
        <v>1.3879999999999999</v>
      </c>
      <c r="S14" s="151">
        <v>1.5609999999999999</v>
      </c>
      <c r="T14" s="151">
        <v>1.599</v>
      </c>
      <c r="U14" s="151">
        <v>1.593</v>
      </c>
      <c r="V14" s="151">
        <v>1.5409999999999999</v>
      </c>
      <c r="W14" s="151">
        <v>1.524</v>
      </c>
      <c r="X14" s="151">
        <v>1.792</v>
      </c>
      <c r="Y14" s="151">
        <v>1.631</v>
      </c>
      <c r="Z14" s="151">
        <v>1.6859999999999999</v>
      </c>
      <c r="AA14" s="151">
        <v>1.71</v>
      </c>
      <c r="AB14" s="151">
        <v>1.2729999999999999</v>
      </c>
      <c r="AC14" s="339" t="s">
        <v>8</v>
      </c>
      <c r="AD14" s="339">
        <f>AB14/road_by_tot!AB14*100</f>
        <v>29.749941575134375</v>
      </c>
      <c r="AE14" s="339">
        <f t="shared" si="3"/>
        <v>-25.555555555555571</v>
      </c>
    </row>
    <row r="15" spans="1:31" ht="12.75" customHeight="1" x14ac:dyDescent="0.2">
      <c r="A15" s="15"/>
      <c r="B15" s="17" t="s">
        <v>26</v>
      </c>
      <c r="C15" s="160">
        <v>4.7</v>
      </c>
      <c r="D15" s="161">
        <v>4.7</v>
      </c>
      <c r="E15" s="161">
        <v>4.7</v>
      </c>
      <c r="F15" s="161">
        <v>4.7</v>
      </c>
      <c r="G15" s="161">
        <v>7.7370000000000001</v>
      </c>
      <c r="H15" s="161">
        <v>8.3369999999999997</v>
      </c>
      <c r="I15" s="161">
        <v>9.1219999999999999</v>
      </c>
      <c r="J15" s="161">
        <v>10.731</v>
      </c>
      <c r="K15" s="161">
        <v>11.935</v>
      </c>
      <c r="L15" s="161">
        <v>13.215999999999999</v>
      </c>
      <c r="M15" s="161">
        <v>13.983000000000001</v>
      </c>
      <c r="N15" s="161">
        <v>13.832000000000001</v>
      </c>
      <c r="O15" s="161">
        <v>14.428000000000001</v>
      </c>
      <c r="P15" s="161">
        <v>13.265000000000001</v>
      </c>
      <c r="Q15" s="161">
        <v>8.4689999999999994</v>
      </c>
      <c r="R15" s="161">
        <v>8.2210000000000001</v>
      </c>
      <c r="S15" s="161">
        <v>7.47</v>
      </c>
      <c r="T15" s="161">
        <v>7.4189999999999996</v>
      </c>
      <c r="U15" s="161">
        <v>7.2160000000000002</v>
      </c>
      <c r="V15" s="161">
        <v>7.7039999999999997</v>
      </c>
      <c r="W15" s="161">
        <v>7.76</v>
      </c>
      <c r="X15" s="161">
        <v>9.2810000000000006</v>
      </c>
      <c r="Y15" s="161">
        <v>9.3260000000000005</v>
      </c>
      <c r="Z15" s="161">
        <v>9.4009999999999998</v>
      </c>
      <c r="AA15" s="161">
        <v>10.002000000000001</v>
      </c>
      <c r="AB15" s="161">
        <v>9.0589999999999993</v>
      </c>
      <c r="AC15" s="175" t="s">
        <v>26</v>
      </c>
      <c r="AD15" s="175">
        <f>AB15/road_by_tot!AB15*100</f>
        <v>79.297969187675065</v>
      </c>
      <c r="AE15" s="175">
        <f t="shared" si="3"/>
        <v>-9.4281143771245866</v>
      </c>
    </row>
    <row r="16" spans="1:31" ht="12.75" customHeight="1" x14ac:dyDescent="0.2">
      <c r="A16" s="15"/>
      <c r="B16" s="88" t="s">
        <v>19</v>
      </c>
      <c r="C16" s="158">
        <v>20</v>
      </c>
      <c r="D16" s="159">
        <v>21</v>
      </c>
      <c r="E16" s="159">
        <v>21.5</v>
      </c>
      <c r="F16" s="159">
        <v>22</v>
      </c>
      <c r="G16" s="159">
        <v>22.5</v>
      </c>
      <c r="H16" s="159">
        <v>23</v>
      </c>
      <c r="I16" s="159">
        <v>23.5</v>
      </c>
      <c r="J16" s="159">
        <v>24</v>
      </c>
      <c r="K16" s="204">
        <v>15.276</v>
      </c>
      <c r="L16" s="151">
        <v>31.745000000000001</v>
      </c>
      <c r="M16" s="156">
        <v>19.61</v>
      </c>
      <c r="N16" s="151">
        <v>26.137</v>
      </c>
      <c r="O16" s="151">
        <v>21.728999999999999</v>
      </c>
      <c r="P16" s="151">
        <v>24.346</v>
      </c>
      <c r="Q16" s="151">
        <v>24.228000000000002</v>
      </c>
      <c r="R16" s="151">
        <v>25.256</v>
      </c>
      <c r="S16" s="151">
        <v>16.809000000000001</v>
      </c>
      <c r="T16" s="151">
        <v>16.486000000000001</v>
      </c>
      <c r="U16" s="151">
        <v>12.718999999999999</v>
      </c>
      <c r="V16" s="151">
        <v>15.119</v>
      </c>
      <c r="W16" s="151">
        <v>15.023</v>
      </c>
      <c r="X16" s="151">
        <v>16.652000000000001</v>
      </c>
      <c r="Y16" s="151">
        <v>15.471</v>
      </c>
      <c r="Z16" s="151">
        <v>15.391999999999999</v>
      </c>
      <c r="AA16" s="151">
        <v>15.285</v>
      </c>
      <c r="AB16" s="151">
        <v>12.933999999999999</v>
      </c>
      <c r="AC16" s="339" t="s">
        <v>19</v>
      </c>
      <c r="AD16" s="339">
        <f>AB16/road_by_tot!AB16*100</f>
        <v>51.404952108421753</v>
      </c>
      <c r="AE16" s="339">
        <f t="shared" si="3"/>
        <v>-15.38109257441937</v>
      </c>
    </row>
    <row r="17" spans="1:31" ht="12.75" customHeight="1" x14ac:dyDescent="0.2">
      <c r="A17" s="15"/>
      <c r="B17" s="17" t="s">
        <v>24</v>
      </c>
      <c r="C17" s="160">
        <v>78.744</v>
      </c>
      <c r="D17" s="161">
        <v>76.257000000000005</v>
      </c>
      <c r="E17" s="161">
        <v>80.634</v>
      </c>
      <c r="F17" s="161">
        <v>91.328999999999994</v>
      </c>
      <c r="G17" s="161">
        <v>98.134</v>
      </c>
      <c r="H17" s="161">
        <v>106.93600000000001</v>
      </c>
      <c r="I17" s="161">
        <v>114.004</v>
      </c>
      <c r="J17" s="161">
        <v>129.51</v>
      </c>
      <c r="K17" s="161">
        <v>138.41300000000001</v>
      </c>
      <c r="L17" s="161">
        <v>155.01400000000001</v>
      </c>
      <c r="M17" s="161">
        <v>166.386</v>
      </c>
      <c r="N17" s="161">
        <v>174.58799999999999</v>
      </c>
      <c r="O17" s="161">
        <v>190.61099999999999</v>
      </c>
      <c r="P17" s="161">
        <v>175.184</v>
      </c>
      <c r="Q17" s="161">
        <v>151.06</v>
      </c>
      <c r="R17" s="161">
        <v>146.19399999999999</v>
      </c>
      <c r="S17" s="161">
        <v>142.32300000000001</v>
      </c>
      <c r="T17" s="161">
        <v>133.36799999999999</v>
      </c>
      <c r="U17" s="161">
        <v>126.997</v>
      </c>
      <c r="V17" s="161">
        <v>128.15700000000001</v>
      </c>
      <c r="W17" s="161">
        <v>137.23599999999999</v>
      </c>
      <c r="X17" s="161">
        <v>144.98400000000001</v>
      </c>
      <c r="Y17" s="161">
        <v>154.666</v>
      </c>
      <c r="Z17" s="161">
        <v>158.476</v>
      </c>
      <c r="AA17" s="161">
        <v>165.91</v>
      </c>
      <c r="AB17" s="161">
        <v>163.68199999999999</v>
      </c>
      <c r="AC17" s="175" t="s">
        <v>24</v>
      </c>
      <c r="AD17" s="175">
        <f>AB17/road_by_tot!AB17*100</f>
        <v>67.562368946786194</v>
      </c>
      <c r="AE17" s="175">
        <f t="shared" si="3"/>
        <v>-1.3428967512506915</v>
      </c>
    </row>
    <row r="18" spans="1:31" ht="12.75" customHeight="1" x14ac:dyDescent="0.2">
      <c r="A18" s="15"/>
      <c r="B18" s="88" t="s">
        <v>25</v>
      </c>
      <c r="C18" s="150">
        <v>135.30000000000001</v>
      </c>
      <c r="D18" s="151">
        <v>136.50200000000001</v>
      </c>
      <c r="E18" s="151">
        <v>138.96</v>
      </c>
      <c r="F18" s="151">
        <v>145.459</v>
      </c>
      <c r="G18" s="151">
        <v>159.02600000000001</v>
      </c>
      <c r="H18" s="151">
        <v>163.16300000000001</v>
      </c>
      <c r="I18" s="151">
        <v>168.572</v>
      </c>
      <c r="J18" s="151">
        <v>169.74199999999999</v>
      </c>
      <c r="K18" s="151">
        <v>170.89599999999999</v>
      </c>
      <c r="L18" s="151">
        <v>179.18299999999999</v>
      </c>
      <c r="M18" s="151">
        <v>177.33099999999999</v>
      </c>
      <c r="N18" s="151">
        <v>182.75299999999999</v>
      </c>
      <c r="O18" s="151">
        <v>191.38800000000001</v>
      </c>
      <c r="P18" s="151">
        <v>181.87899999999999</v>
      </c>
      <c r="Q18" s="151">
        <v>156.02099999999999</v>
      </c>
      <c r="R18" s="151">
        <v>164.32499999999999</v>
      </c>
      <c r="S18" s="151">
        <v>168.24199999999999</v>
      </c>
      <c r="T18" s="151">
        <v>156.44900000000001</v>
      </c>
      <c r="U18" s="151">
        <v>155.71199999999999</v>
      </c>
      <c r="V18" s="151">
        <v>151.11199999999999</v>
      </c>
      <c r="W18" s="151">
        <v>141.24199999999999</v>
      </c>
      <c r="X18" s="151">
        <v>144.20500000000001</v>
      </c>
      <c r="Y18" s="151">
        <v>155.876</v>
      </c>
      <c r="Z18" s="151">
        <v>159.62299999999999</v>
      </c>
      <c r="AA18" s="151">
        <v>162.50399999999999</v>
      </c>
      <c r="AB18" s="151">
        <v>158.15799999999999</v>
      </c>
      <c r="AC18" s="339" t="s">
        <v>25</v>
      </c>
      <c r="AD18" s="339">
        <f>AB18/road_by_tot!AB18*100</f>
        <v>93.21891042831966</v>
      </c>
      <c r="AE18" s="339">
        <f t="shared" si="3"/>
        <v>-2.6743957071825974</v>
      </c>
    </row>
    <row r="19" spans="1:31" ht="12.75" customHeight="1" x14ac:dyDescent="0.2">
      <c r="A19" s="15"/>
      <c r="B19" s="17" t="s">
        <v>36</v>
      </c>
      <c r="C19" s="114" t="s">
        <v>34</v>
      </c>
      <c r="D19" s="57"/>
      <c r="E19" s="57"/>
      <c r="F19" s="141"/>
      <c r="G19" s="57">
        <v>1.6060000000000001</v>
      </c>
      <c r="H19" s="57">
        <v>1.9059999999999999</v>
      </c>
      <c r="I19" s="57">
        <v>3.2130000000000001</v>
      </c>
      <c r="J19" s="57">
        <v>3.6629999999999998</v>
      </c>
      <c r="K19" s="57">
        <v>4.1239999999999997</v>
      </c>
      <c r="L19" s="57">
        <v>4.3730000000000002</v>
      </c>
      <c r="M19" s="57">
        <v>4.3869999999999996</v>
      </c>
      <c r="N19" s="57">
        <v>5.2910000000000004</v>
      </c>
      <c r="O19" s="57">
        <v>5.1219999999999999</v>
      </c>
      <c r="P19" s="57">
        <v>6.4450000000000003</v>
      </c>
      <c r="Q19" s="57">
        <v>5.125</v>
      </c>
      <c r="R19" s="57">
        <v>4.5469999999999997</v>
      </c>
      <c r="S19" s="57">
        <v>4.375</v>
      </c>
      <c r="T19" s="57">
        <v>4.1449999999999996</v>
      </c>
      <c r="U19" s="57">
        <v>4.2839999999999998</v>
      </c>
      <c r="V19" s="57">
        <v>3.931</v>
      </c>
      <c r="W19" s="57">
        <v>4.0549999999999997</v>
      </c>
      <c r="X19" s="57">
        <v>3.9860000000000002</v>
      </c>
      <c r="Y19" s="57">
        <v>4.1989999999999998</v>
      </c>
      <c r="Z19" s="57">
        <v>4.2350000000000003</v>
      </c>
      <c r="AA19" s="57">
        <v>4.3120000000000003</v>
      </c>
      <c r="AB19" s="57">
        <v>4.4870000000000001</v>
      </c>
      <c r="AC19" s="175" t="s">
        <v>36</v>
      </c>
      <c r="AD19" s="175">
        <f>AB19/road_by_tot!AB19*100</f>
        <v>36.613627090983272</v>
      </c>
      <c r="AE19" s="175">
        <f t="shared" si="3"/>
        <v>4.0584415584415439</v>
      </c>
    </row>
    <row r="20" spans="1:31" ht="12.75" customHeight="1" x14ac:dyDescent="0.2">
      <c r="A20" s="15"/>
      <c r="B20" s="88" t="s">
        <v>27</v>
      </c>
      <c r="C20" s="158">
        <v>150.30099999999999</v>
      </c>
      <c r="D20" s="159">
        <v>151.02500000000001</v>
      </c>
      <c r="E20" s="159">
        <v>153.6</v>
      </c>
      <c r="F20" s="159">
        <v>154.15100000000001</v>
      </c>
      <c r="G20" s="156">
        <v>151.96700000000001</v>
      </c>
      <c r="H20" s="156">
        <v>158.25</v>
      </c>
      <c r="I20" s="156">
        <v>154.749</v>
      </c>
      <c r="J20" s="151">
        <v>160.08199999999999</v>
      </c>
      <c r="K20" s="151">
        <v>143.184</v>
      </c>
      <c r="L20" s="151">
        <v>158.172</v>
      </c>
      <c r="M20" s="151">
        <v>171.58699999999999</v>
      </c>
      <c r="N20" s="151">
        <v>155.42500000000001</v>
      </c>
      <c r="O20" s="151">
        <v>152.40600000000001</v>
      </c>
      <c r="P20" s="151">
        <v>151.82300000000001</v>
      </c>
      <c r="Q20" s="151">
        <v>145.61000000000001</v>
      </c>
      <c r="R20" s="151">
        <v>149.24799999999999</v>
      </c>
      <c r="S20" s="151">
        <v>127.681</v>
      </c>
      <c r="T20" s="151">
        <v>111.785</v>
      </c>
      <c r="U20" s="151">
        <v>111.97499999999999</v>
      </c>
      <c r="V20" s="151">
        <v>102.351</v>
      </c>
      <c r="W20" s="151">
        <v>104.104</v>
      </c>
      <c r="X20" s="151">
        <v>100.282</v>
      </c>
      <c r="Y20" s="151">
        <v>106.711</v>
      </c>
      <c r="Z20" s="151">
        <v>111.741</v>
      </c>
      <c r="AA20" s="151">
        <v>122.491</v>
      </c>
      <c r="AB20" s="151">
        <v>118.151</v>
      </c>
      <c r="AC20" s="339" t="s">
        <v>27</v>
      </c>
      <c r="AD20" s="339">
        <f>AB20/road_by_tot!AB20*100</f>
        <v>88.687303898755459</v>
      </c>
      <c r="AE20" s="339">
        <f t="shared" si="3"/>
        <v>-3.5431174535272021</v>
      </c>
    </row>
    <row r="21" spans="1:31" ht="12.75" customHeight="1" x14ac:dyDescent="0.2">
      <c r="A21" s="15"/>
      <c r="B21" s="17" t="s">
        <v>6</v>
      </c>
      <c r="C21" s="114"/>
      <c r="D21" s="57"/>
      <c r="E21" s="57"/>
      <c r="F21" s="57"/>
      <c r="G21" s="57"/>
      <c r="H21" s="57">
        <v>1.28</v>
      </c>
      <c r="I21" s="57">
        <v>1.29</v>
      </c>
      <c r="J21" s="57">
        <v>1.286</v>
      </c>
      <c r="K21" s="57">
        <v>1.37</v>
      </c>
      <c r="L21" s="57">
        <v>1.1020000000000001</v>
      </c>
      <c r="M21" s="57">
        <v>1.3740000000000001</v>
      </c>
      <c r="N21" s="57">
        <v>1.145</v>
      </c>
      <c r="O21" s="57">
        <v>1.1839999999999999</v>
      </c>
      <c r="P21" s="57">
        <v>1.296</v>
      </c>
      <c r="Q21" s="57">
        <v>0.94399999999999995</v>
      </c>
      <c r="R21" s="57">
        <v>1.0660000000000001</v>
      </c>
      <c r="S21" s="57">
        <v>0.92300000000000004</v>
      </c>
      <c r="T21" s="57">
        <v>0.88</v>
      </c>
      <c r="U21" s="57">
        <v>0.61799999999999999</v>
      </c>
      <c r="V21" s="57">
        <v>0.52600000000000002</v>
      </c>
      <c r="W21" s="57">
        <v>0.54800000000000004</v>
      </c>
      <c r="X21" s="57">
        <v>0.68400000000000005</v>
      </c>
      <c r="Y21" s="57">
        <v>0.80200000000000005</v>
      </c>
      <c r="Z21" s="57">
        <v>0.86499999999999999</v>
      </c>
      <c r="AA21" s="57">
        <v>0.83099999999999996</v>
      </c>
      <c r="AB21" s="57">
        <v>0.67200000000000004</v>
      </c>
      <c r="AC21" s="175" t="s">
        <v>6</v>
      </c>
      <c r="AD21" s="175">
        <f>AB21/road_by_tot!AB21*100</f>
        <v>94.781382228490841</v>
      </c>
      <c r="AE21" s="175">
        <f t="shared" si="3"/>
        <v>-19.133574007220204</v>
      </c>
    </row>
    <row r="22" spans="1:31" ht="12.75" customHeight="1" x14ac:dyDescent="0.2">
      <c r="A22" s="15"/>
      <c r="B22" s="88" t="s">
        <v>10</v>
      </c>
      <c r="C22" s="150" t="s">
        <v>34</v>
      </c>
      <c r="D22" s="151"/>
      <c r="E22" s="151"/>
      <c r="F22" s="151"/>
      <c r="G22" s="151"/>
      <c r="H22" s="151">
        <v>1.484</v>
      </c>
      <c r="I22" s="151">
        <v>1.645</v>
      </c>
      <c r="J22" s="151">
        <v>1.9670000000000001</v>
      </c>
      <c r="K22" s="151">
        <v>2.3650000000000002</v>
      </c>
      <c r="L22" s="151">
        <v>2.38</v>
      </c>
      <c r="M22" s="151">
        <v>2.734</v>
      </c>
      <c r="N22" s="151">
        <v>2.718</v>
      </c>
      <c r="O22" s="151">
        <v>3.0059999999999998</v>
      </c>
      <c r="P22" s="151">
        <v>2.536</v>
      </c>
      <c r="Q22" s="151">
        <v>2.149</v>
      </c>
      <c r="R22" s="151">
        <v>2.5609999999999999</v>
      </c>
      <c r="S22" s="151">
        <v>2.6459999999999999</v>
      </c>
      <c r="T22" s="151">
        <v>2.6160000000000001</v>
      </c>
      <c r="U22" s="151">
        <v>2.8029999999999999</v>
      </c>
      <c r="V22" s="151">
        <v>2.74</v>
      </c>
      <c r="W22" s="151">
        <v>2.7530000000000001</v>
      </c>
      <c r="X22" s="151">
        <v>2.8069999999999999</v>
      </c>
      <c r="Y22" s="151">
        <v>3.24</v>
      </c>
      <c r="Z22" s="151">
        <v>3.4590000000000001</v>
      </c>
      <c r="AA22" s="151">
        <v>3.35</v>
      </c>
      <c r="AB22" s="151">
        <v>3.7160000000000002</v>
      </c>
      <c r="AC22" s="339" t="s">
        <v>10</v>
      </c>
      <c r="AD22" s="339">
        <f>AB22/road_by_tot!AB22*100</f>
        <v>27.114191900766144</v>
      </c>
      <c r="AE22" s="339">
        <f t="shared" si="3"/>
        <v>10.925373134328353</v>
      </c>
    </row>
    <row r="23" spans="1:31" ht="12.75" customHeight="1" x14ac:dyDescent="0.2">
      <c r="A23" s="15"/>
      <c r="B23" s="17" t="s">
        <v>11</v>
      </c>
      <c r="C23" s="114" t="s">
        <v>34</v>
      </c>
      <c r="D23" s="57"/>
      <c r="E23" s="57"/>
      <c r="F23" s="57"/>
      <c r="G23" s="57"/>
      <c r="H23" s="57">
        <v>1.534</v>
      </c>
      <c r="I23" s="57">
        <v>1.518</v>
      </c>
      <c r="J23" s="57">
        <v>1.518</v>
      </c>
      <c r="K23" s="57">
        <v>1.958</v>
      </c>
      <c r="L23" s="57">
        <v>2.2130000000000001</v>
      </c>
      <c r="M23" s="57">
        <v>2.137</v>
      </c>
      <c r="N23" s="57">
        <v>2.2320000000000002</v>
      </c>
      <c r="O23" s="57">
        <v>2.7040000000000002</v>
      </c>
      <c r="P23" s="57">
        <v>2.56</v>
      </c>
      <c r="Q23" s="57">
        <v>2.633</v>
      </c>
      <c r="R23" s="57">
        <v>2.2919999999999998</v>
      </c>
      <c r="S23" s="57">
        <v>2.3199999999999998</v>
      </c>
      <c r="T23" s="57">
        <v>2.4380000000000002</v>
      </c>
      <c r="U23" s="57">
        <v>2.54</v>
      </c>
      <c r="V23" s="57">
        <v>2.7679999999999998</v>
      </c>
      <c r="W23" s="57">
        <v>2.9129999999999998</v>
      </c>
      <c r="X23" s="57">
        <v>2.97</v>
      </c>
      <c r="Y23" s="57">
        <v>3.1840000000000002</v>
      </c>
      <c r="Z23" s="57">
        <v>3.6419999999999999</v>
      </c>
      <c r="AA23" s="57">
        <v>3.5550000000000002</v>
      </c>
      <c r="AB23" s="57">
        <v>3.9950000000000001</v>
      </c>
      <c r="AC23" s="175" t="s">
        <v>11</v>
      </c>
      <c r="AD23" s="175">
        <f>AB23/road_by_tot!AB23*100</f>
        <v>7.2252767127251678</v>
      </c>
      <c r="AE23" s="175">
        <f t="shared" si="3"/>
        <v>12.376933895921226</v>
      </c>
    </row>
    <row r="24" spans="1:31" ht="12.75" customHeight="1" x14ac:dyDescent="0.2">
      <c r="A24" s="15"/>
      <c r="B24" s="88" t="s">
        <v>28</v>
      </c>
      <c r="C24" s="150">
        <v>0.53100000000000003</v>
      </c>
      <c r="D24" s="151">
        <v>0.39200000000000002</v>
      </c>
      <c r="E24" s="151">
        <v>0.39400000000000002</v>
      </c>
      <c r="F24" s="151">
        <v>0.39500000000000002</v>
      </c>
      <c r="G24" s="151">
        <v>0.377</v>
      </c>
      <c r="H24" s="151">
        <v>0.41499999999999998</v>
      </c>
      <c r="I24" s="151">
        <v>0.48699999999999999</v>
      </c>
      <c r="J24" s="151">
        <v>0.58299999999999996</v>
      </c>
      <c r="K24" s="151">
        <v>0.56499999999999995</v>
      </c>
      <c r="L24" s="151">
        <v>0.54900000000000004</v>
      </c>
      <c r="M24" s="151">
        <v>0.49399999999999999</v>
      </c>
      <c r="N24" s="151">
        <v>0.54400000000000004</v>
      </c>
      <c r="O24" s="151">
        <v>0.54800000000000004</v>
      </c>
      <c r="P24" s="151">
        <v>0.55500000000000005</v>
      </c>
      <c r="Q24" s="151">
        <v>0.53</v>
      </c>
      <c r="R24" s="151">
        <v>0.57399999999999995</v>
      </c>
      <c r="S24" s="151">
        <v>0.65</v>
      </c>
      <c r="T24" s="151">
        <v>1.044</v>
      </c>
      <c r="U24" s="151">
        <v>0.77700000000000002</v>
      </c>
      <c r="V24" s="151">
        <v>1.1279999999999999</v>
      </c>
      <c r="W24" s="151">
        <v>0.97799999999999998</v>
      </c>
      <c r="X24" s="151">
        <v>1.0669999999999999</v>
      </c>
      <c r="Y24" s="151">
        <v>1.0169999999999999</v>
      </c>
      <c r="Z24" s="151">
        <v>0.64700000000000002</v>
      </c>
      <c r="AA24" s="151">
        <v>0.66100000000000003</v>
      </c>
      <c r="AB24" s="151">
        <v>0.51100000000000001</v>
      </c>
      <c r="AC24" s="339" t="s">
        <v>28</v>
      </c>
      <c r="AD24" s="339">
        <f>AB24/road_by_tot!AB24*100</f>
        <v>8.2739637305699478</v>
      </c>
      <c r="AE24" s="339">
        <f t="shared" si="3"/>
        <v>-22.692889561270803</v>
      </c>
    </row>
    <row r="25" spans="1:31" ht="12.75" customHeight="1" x14ac:dyDescent="0.2">
      <c r="A25" s="15"/>
      <c r="B25" s="17" t="s">
        <v>9</v>
      </c>
      <c r="C25" s="153" t="s">
        <v>34</v>
      </c>
      <c r="D25" s="154"/>
      <c r="E25" s="154"/>
      <c r="F25" s="154"/>
      <c r="G25" s="154"/>
      <c r="H25" s="154">
        <v>12.145</v>
      </c>
      <c r="I25" s="154">
        <v>11.835000000000001</v>
      </c>
      <c r="J25" s="154">
        <v>11.166</v>
      </c>
      <c r="K25" s="154">
        <v>10.67</v>
      </c>
      <c r="L25" s="154">
        <v>10.977</v>
      </c>
      <c r="M25" s="154">
        <v>11.394</v>
      </c>
      <c r="N25" s="154">
        <v>12.425000000000001</v>
      </c>
      <c r="O25" s="154">
        <v>13.186</v>
      </c>
      <c r="P25" s="154">
        <v>13.042999999999999</v>
      </c>
      <c r="Q25" s="154">
        <v>12.170999999999999</v>
      </c>
      <c r="R25" s="154">
        <v>11.329000000000001</v>
      </c>
      <c r="S25" s="154">
        <v>10.534000000000001</v>
      </c>
      <c r="T25" s="154">
        <v>9.1809999999999992</v>
      </c>
      <c r="U25" s="154">
        <v>9.2460000000000004</v>
      </c>
      <c r="V25" s="154">
        <v>9.6300000000000008</v>
      </c>
      <c r="W25" s="154">
        <v>10.356</v>
      </c>
      <c r="X25" s="154">
        <v>11.72</v>
      </c>
      <c r="Y25" s="154">
        <v>11.94</v>
      </c>
      <c r="Z25" s="154">
        <v>12.978999999999999</v>
      </c>
      <c r="AA25" s="154">
        <v>13.382</v>
      </c>
      <c r="AB25" s="154">
        <v>12.86</v>
      </c>
      <c r="AC25" s="175" t="s">
        <v>9</v>
      </c>
      <c r="AD25" s="175">
        <f>AB25/road_by_tot!AB25*100</f>
        <v>39.908142999006948</v>
      </c>
      <c r="AE25" s="175">
        <f t="shared" si="3"/>
        <v>-3.9007622179046564</v>
      </c>
    </row>
    <row r="26" spans="1:31" ht="12.75" customHeight="1" x14ac:dyDescent="0.2">
      <c r="A26" s="15"/>
      <c r="B26" s="56" t="s">
        <v>12</v>
      </c>
      <c r="C26" s="158" t="s">
        <v>34</v>
      </c>
      <c r="D26" s="159"/>
      <c r="E26" s="159"/>
      <c r="F26" s="159"/>
      <c r="G26" s="159"/>
      <c r="H26" s="159">
        <v>0.2</v>
      </c>
      <c r="I26" s="159">
        <v>0.2</v>
      </c>
      <c r="J26" s="159">
        <v>0.2</v>
      </c>
      <c r="K26" s="159">
        <v>0.2</v>
      </c>
      <c r="L26" s="159">
        <v>0.2</v>
      </c>
      <c r="M26" s="159">
        <v>0.2</v>
      </c>
      <c r="N26" s="159">
        <v>0.2</v>
      </c>
      <c r="O26" s="159">
        <v>0.2</v>
      </c>
      <c r="P26" s="159">
        <v>0.2</v>
      </c>
      <c r="Q26" s="159">
        <v>0.2</v>
      </c>
      <c r="R26" s="159">
        <v>0.2</v>
      </c>
      <c r="S26" s="159">
        <v>0.2</v>
      </c>
      <c r="T26" s="159">
        <v>0.2</v>
      </c>
      <c r="U26" s="159">
        <v>0.2</v>
      </c>
      <c r="V26" s="159">
        <v>0.2</v>
      </c>
      <c r="W26" s="159">
        <v>0.2</v>
      </c>
      <c r="X26" s="159">
        <v>0.2</v>
      </c>
      <c r="Y26" s="159">
        <v>0.2</v>
      </c>
      <c r="Z26" s="159">
        <v>0.2</v>
      </c>
      <c r="AA26" s="159">
        <v>0.2</v>
      </c>
      <c r="AB26" s="159">
        <v>0.2</v>
      </c>
      <c r="AC26" s="270" t="s">
        <v>12</v>
      </c>
      <c r="AD26" s="270">
        <f>AB26/road_by_tot!AB26*100</f>
        <v>80</v>
      </c>
      <c r="AE26" s="270">
        <f t="shared" si="3"/>
        <v>0</v>
      </c>
    </row>
    <row r="27" spans="1:31" ht="12.75" customHeight="1" x14ac:dyDescent="0.2">
      <c r="A27" s="15"/>
      <c r="B27" s="17" t="s">
        <v>20</v>
      </c>
      <c r="C27" s="114">
        <v>26.683</v>
      </c>
      <c r="D27" s="57">
        <v>27.303000000000001</v>
      </c>
      <c r="E27" s="57">
        <v>27.384</v>
      </c>
      <c r="F27" s="57">
        <v>28.24</v>
      </c>
      <c r="G27" s="57">
        <v>32.682000000000002</v>
      </c>
      <c r="H27" s="57">
        <v>31.536999999999999</v>
      </c>
      <c r="I27" s="57">
        <v>30.998999999999999</v>
      </c>
      <c r="J27" s="57">
        <v>30.256</v>
      </c>
      <c r="K27" s="57">
        <v>31.785</v>
      </c>
      <c r="L27" s="57">
        <v>33.938000000000002</v>
      </c>
      <c r="M27" s="57">
        <v>31.827000000000002</v>
      </c>
      <c r="N27" s="57">
        <v>31.009</v>
      </c>
      <c r="O27" s="57">
        <v>30.686</v>
      </c>
      <c r="P27" s="57">
        <v>32.009</v>
      </c>
      <c r="Q27" s="57">
        <v>31.337</v>
      </c>
      <c r="R27" s="57">
        <v>30.064</v>
      </c>
      <c r="S27" s="57">
        <v>30.324999999999999</v>
      </c>
      <c r="T27" s="57">
        <v>28.695</v>
      </c>
      <c r="U27" s="57">
        <v>32.298999999999999</v>
      </c>
      <c r="V27" s="57">
        <v>32.253</v>
      </c>
      <c r="W27" s="57">
        <v>32.17</v>
      </c>
      <c r="X27" s="57">
        <v>34.052999999999997</v>
      </c>
      <c r="Y27" s="57">
        <v>33.161999999999999</v>
      </c>
      <c r="Z27" s="57">
        <v>34.295000000000002</v>
      </c>
      <c r="AA27" s="57">
        <v>35.405999999999999</v>
      </c>
      <c r="AB27" s="57">
        <v>34.761000000000003</v>
      </c>
      <c r="AC27" s="175" t="s">
        <v>20</v>
      </c>
      <c r="AD27" s="175">
        <f>AB27/road_by_tot!AB27*100</f>
        <v>51.713057320102948</v>
      </c>
      <c r="AE27" s="175">
        <f t="shared" si="3"/>
        <v>-1.8217251313336646</v>
      </c>
    </row>
    <row r="28" spans="1:31" ht="12.75" customHeight="1" x14ac:dyDescent="0.2">
      <c r="A28" s="15"/>
      <c r="B28" s="88" t="s">
        <v>29</v>
      </c>
      <c r="C28" s="150">
        <v>11.069000000000001</v>
      </c>
      <c r="D28" s="151">
        <v>11.444000000000001</v>
      </c>
      <c r="E28" s="151">
        <v>11.558999999999999</v>
      </c>
      <c r="F28" s="151">
        <v>11.715</v>
      </c>
      <c r="G28" s="151">
        <v>12.28</v>
      </c>
      <c r="H28" s="156">
        <v>12.388999999999999</v>
      </c>
      <c r="I28" s="156">
        <v>12.454000000000001</v>
      </c>
      <c r="J28" s="156">
        <v>12.663</v>
      </c>
      <c r="K28" s="156">
        <v>13.036</v>
      </c>
      <c r="L28" s="151">
        <v>12.375999999999999</v>
      </c>
      <c r="M28" s="151">
        <v>12.513999999999999</v>
      </c>
      <c r="N28" s="151">
        <v>14.436999999999999</v>
      </c>
      <c r="O28" s="151">
        <v>14.744</v>
      </c>
      <c r="P28" s="151">
        <v>14.581</v>
      </c>
      <c r="Q28" s="151">
        <v>13.491</v>
      </c>
      <c r="R28" s="151">
        <v>13.914</v>
      </c>
      <c r="S28" s="151">
        <v>14.475</v>
      </c>
      <c r="T28" s="151">
        <v>14.118</v>
      </c>
      <c r="U28" s="151">
        <v>13.853</v>
      </c>
      <c r="V28" s="151">
        <v>14.721</v>
      </c>
      <c r="W28" s="151">
        <v>15.481999999999999</v>
      </c>
      <c r="X28" s="151">
        <v>16.504999999999999</v>
      </c>
      <c r="Y28" s="151">
        <v>16.803000000000001</v>
      </c>
      <c r="Z28" s="151">
        <v>16.914000000000001</v>
      </c>
      <c r="AA28" s="151">
        <v>17.248999999999999</v>
      </c>
      <c r="AB28" s="151">
        <v>17.097000000000001</v>
      </c>
      <c r="AC28" s="339" t="s">
        <v>29</v>
      </c>
      <c r="AD28" s="339">
        <f>AB28/road_by_tot!AB28*100</f>
        <v>65.986105750675421</v>
      </c>
      <c r="AE28" s="339">
        <f t="shared" si="3"/>
        <v>-0.88121050495679754</v>
      </c>
    </row>
    <row r="29" spans="1:31" ht="12.75" customHeight="1" x14ac:dyDescent="0.2">
      <c r="A29" s="15"/>
      <c r="B29" s="17" t="s">
        <v>13</v>
      </c>
      <c r="C29" s="145" t="s">
        <v>34</v>
      </c>
      <c r="D29" s="141" t="s">
        <v>34</v>
      </c>
      <c r="E29" s="141" t="s">
        <v>34</v>
      </c>
      <c r="F29" s="141" t="s">
        <v>34</v>
      </c>
      <c r="G29" s="141"/>
      <c r="H29" s="141">
        <v>48</v>
      </c>
      <c r="I29" s="141">
        <v>49</v>
      </c>
      <c r="J29" s="141">
        <v>50.5</v>
      </c>
      <c r="K29" s="141">
        <v>53</v>
      </c>
      <c r="L29" s="57">
        <v>58.825000000000003</v>
      </c>
      <c r="M29" s="57">
        <v>60.94</v>
      </c>
      <c r="N29" s="57">
        <v>59.42</v>
      </c>
      <c r="O29" s="57">
        <v>65.769000000000005</v>
      </c>
      <c r="P29" s="57">
        <v>71.917000000000002</v>
      </c>
      <c r="Q29" s="57">
        <v>79.206999999999994</v>
      </c>
      <c r="R29" s="57">
        <v>82.218000000000004</v>
      </c>
      <c r="S29" s="57">
        <v>89.733999999999995</v>
      </c>
      <c r="T29" s="57">
        <v>89.013000000000005</v>
      </c>
      <c r="U29" s="57">
        <v>100.32</v>
      </c>
      <c r="V29" s="57">
        <v>96.626999999999995</v>
      </c>
      <c r="W29" s="57">
        <v>104.679</v>
      </c>
      <c r="X29" s="57">
        <v>106.634</v>
      </c>
      <c r="Y29" s="57">
        <v>120.036</v>
      </c>
      <c r="Z29" s="57">
        <v>114.69199999999999</v>
      </c>
      <c r="AA29" s="57">
        <v>119.36499999999999</v>
      </c>
      <c r="AB29" s="57">
        <v>123.819</v>
      </c>
      <c r="AC29" s="175" t="s">
        <v>13</v>
      </c>
      <c r="AD29" s="175">
        <f>AB29/road_by_tot!AB29*100</f>
        <v>34.885765241866636</v>
      </c>
      <c r="AE29" s="175">
        <f t="shared" si="3"/>
        <v>3.7314120554601544</v>
      </c>
    </row>
    <row r="30" spans="1:31" ht="12.75" customHeight="1" x14ac:dyDescent="0.2">
      <c r="A30" s="15"/>
      <c r="B30" s="88" t="s">
        <v>30</v>
      </c>
      <c r="C30" s="150">
        <v>16.5</v>
      </c>
      <c r="D30" s="151">
        <v>16.79</v>
      </c>
      <c r="E30" s="151">
        <v>17.329999999999998</v>
      </c>
      <c r="F30" s="151">
        <v>17.63</v>
      </c>
      <c r="G30" s="199">
        <v>14.308999999999999</v>
      </c>
      <c r="H30" s="151">
        <v>14.22</v>
      </c>
      <c r="I30" s="151">
        <v>16.350999999999999</v>
      </c>
      <c r="J30" s="151">
        <v>14.916</v>
      </c>
      <c r="K30" s="157">
        <v>14.199</v>
      </c>
      <c r="L30" s="151">
        <v>17.434999999999999</v>
      </c>
      <c r="M30" s="151">
        <v>17.445</v>
      </c>
      <c r="N30" s="151">
        <v>17.54</v>
      </c>
      <c r="O30" s="151">
        <v>18.318999999999999</v>
      </c>
      <c r="P30" s="151">
        <v>17.114000000000001</v>
      </c>
      <c r="Q30" s="151">
        <v>14.423999999999999</v>
      </c>
      <c r="R30" s="151">
        <v>12.881</v>
      </c>
      <c r="S30" s="151">
        <v>12.673</v>
      </c>
      <c r="T30" s="151">
        <v>11.18</v>
      </c>
      <c r="U30" s="151">
        <v>9.7729999999999997</v>
      </c>
      <c r="V30" s="151">
        <v>10.468999999999999</v>
      </c>
      <c r="W30" s="151">
        <v>10.791</v>
      </c>
      <c r="X30" s="151">
        <v>10.382</v>
      </c>
      <c r="Y30" s="151">
        <v>10.853999999999999</v>
      </c>
      <c r="Z30" s="151">
        <v>10.53</v>
      </c>
      <c r="AA30" s="151">
        <v>10.413</v>
      </c>
      <c r="AB30" s="151">
        <v>8.7219999999999995</v>
      </c>
      <c r="AC30" s="339" t="s">
        <v>30</v>
      </c>
      <c r="AD30" s="339">
        <f>AB30/road_by_tot!AB30*100</f>
        <v>35.980363846375973</v>
      </c>
      <c r="AE30" s="339">
        <f t="shared" si="3"/>
        <v>-16.239316239316253</v>
      </c>
    </row>
    <row r="31" spans="1:31" ht="12.75" customHeight="1" x14ac:dyDescent="0.2">
      <c r="A31" s="15"/>
      <c r="B31" s="17" t="s">
        <v>14</v>
      </c>
      <c r="C31" s="160" t="s">
        <v>34</v>
      </c>
      <c r="D31" s="161"/>
      <c r="E31" s="161"/>
      <c r="F31" s="161"/>
      <c r="G31" s="161">
        <v>9.7270000000000003</v>
      </c>
      <c r="H31" s="167">
        <v>9.8800000000000008</v>
      </c>
      <c r="I31" s="161">
        <v>10.645</v>
      </c>
      <c r="J31" s="161">
        <v>10.98</v>
      </c>
      <c r="K31" s="161">
        <v>13.637</v>
      </c>
      <c r="L31" s="161">
        <v>14.651</v>
      </c>
      <c r="M31" s="161">
        <v>19.399000000000001</v>
      </c>
      <c r="N31" s="161">
        <v>22.722999999999999</v>
      </c>
      <c r="O31" s="161">
        <v>23.931999999999999</v>
      </c>
      <c r="P31" s="161">
        <v>23.19</v>
      </c>
      <c r="Q31" s="161">
        <v>20.879000000000001</v>
      </c>
      <c r="R31" s="161">
        <v>12.096</v>
      </c>
      <c r="S31" s="161">
        <v>11.858000000000001</v>
      </c>
      <c r="T31" s="161">
        <v>12.673</v>
      </c>
      <c r="U31" s="161">
        <v>12.505000000000001</v>
      </c>
      <c r="V31" s="161">
        <v>12.135999999999999</v>
      </c>
      <c r="W31" s="161">
        <v>12.068</v>
      </c>
      <c r="X31" s="161">
        <v>13.14</v>
      </c>
      <c r="Y31" s="161">
        <v>13.548</v>
      </c>
      <c r="Z31" s="161">
        <v>14.358000000000001</v>
      </c>
      <c r="AA31" s="161">
        <v>16.675000000000001</v>
      </c>
      <c r="AB31" s="161">
        <v>17.280999999999999</v>
      </c>
      <c r="AC31" s="175" t="s">
        <v>14</v>
      </c>
      <c r="AD31" s="175">
        <f>AB31/road_by_tot!AB31*100</f>
        <v>31.404583204608645</v>
      </c>
      <c r="AE31" s="175">
        <f t="shared" si="3"/>
        <v>3.6341829085457107</v>
      </c>
    </row>
    <row r="32" spans="1:31" ht="12.75" customHeight="1" x14ac:dyDescent="0.2">
      <c r="A32" s="15"/>
      <c r="B32" s="88" t="s">
        <v>16</v>
      </c>
      <c r="C32" s="150" t="s">
        <v>34</v>
      </c>
      <c r="D32" s="151" t="s">
        <v>34</v>
      </c>
      <c r="E32" s="151" t="s">
        <v>34</v>
      </c>
      <c r="F32" s="151" t="s">
        <v>34</v>
      </c>
      <c r="G32" s="151"/>
      <c r="H32" s="151">
        <v>1.9</v>
      </c>
      <c r="I32" s="151">
        <v>1.927</v>
      </c>
      <c r="J32" s="151">
        <v>1.9450000000000001</v>
      </c>
      <c r="K32" s="151">
        <v>1.9950000000000001</v>
      </c>
      <c r="L32" s="151">
        <v>2.2669999999999999</v>
      </c>
      <c r="M32" s="151">
        <v>2.3610000000000002</v>
      </c>
      <c r="N32" s="151">
        <v>2.2789999999999999</v>
      </c>
      <c r="O32" s="151">
        <v>2.573</v>
      </c>
      <c r="P32" s="151">
        <v>2.6360000000000001</v>
      </c>
      <c r="Q32" s="151">
        <v>2.2759999999999998</v>
      </c>
      <c r="R32" s="151">
        <v>2.2879999999999998</v>
      </c>
      <c r="S32" s="151">
        <v>2.177</v>
      </c>
      <c r="T32" s="151">
        <v>1.849</v>
      </c>
      <c r="U32" s="151">
        <v>1.889</v>
      </c>
      <c r="V32" s="151">
        <v>2.0619999999999998</v>
      </c>
      <c r="W32" s="151">
        <v>2.069</v>
      </c>
      <c r="X32" s="151">
        <v>2.1339999999999999</v>
      </c>
      <c r="Y32" s="151">
        <v>2.31</v>
      </c>
      <c r="Z32" s="151">
        <v>2.2559999999999998</v>
      </c>
      <c r="AA32" s="151">
        <v>2.306</v>
      </c>
      <c r="AB32" s="151">
        <v>2.2749999999999999</v>
      </c>
      <c r="AC32" s="339" t="s">
        <v>16</v>
      </c>
      <c r="AD32" s="339">
        <f>AB32/road_by_tot!AB32*100</f>
        <v>10.038831524137322</v>
      </c>
      <c r="AE32" s="339">
        <f t="shared" si="3"/>
        <v>-1.344319167389429</v>
      </c>
    </row>
    <row r="33" spans="1:31" ht="12.75" customHeight="1" x14ac:dyDescent="0.2">
      <c r="A33" s="15"/>
      <c r="B33" s="17" t="s">
        <v>15</v>
      </c>
      <c r="C33" s="160" t="s">
        <v>34</v>
      </c>
      <c r="D33" s="161"/>
      <c r="E33" s="161"/>
      <c r="F33" s="161"/>
      <c r="G33" s="161"/>
      <c r="H33" s="161">
        <v>5.056</v>
      </c>
      <c r="I33" s="161">
        <v>5.3179999999999996</v>
      </c>
      <c r="J33" s="161">
        <v>5.0199999999999996</v>
      </c>
      <c r="K33" s="161">
        <v>5.2039999999999997</v>
      </c>
      <c r="L33" s="161">
        <v>5.4219999999999997</v>
      </c>
      <c r="M33" s="161">
        <v>5.6210000000000004</v>
      </c>
      <c r="N33" s="161">
        <v>5.2030000000000003</v>
      </c>
      <c r="O33" s="161">
        <v>5.617</v>
      </c>
      <c r="P33" s="161">
        <v>6.319</v>
      </c>
      <c r="Q33" s="161">
        <v>5.5190000000000001</v>
      </c>
      <c r="R33" s="161">
        <v>5.1980000000000004</v>
      </c>
      <c r="S33" s="161">
        <v>4.9059999999999997</v>
      </c>
      <c r="T33" s="161">
        <v>5.0730000000000004</v>
      </c>
      <c r="U33" s="161">
        <v>4.5659999999999998</v>
      </c>
      <c r="V33" s="161">
        <v>5.0940000000000003</v>
      </c>
      <c r="W33" s="161">
        <v>5.2450000000000001</v>
      </c>
      <c r="X33" s="161">
        <v>5.6970000000000001</v>
      </c>
      <c r="Y33" s="161">
        <v>6.3259999999999996</v>
      </c>
      <c r="Z33" s="161">
        <v>6.4770000000000003</v>
      </c>
      <c r="AA33" s="161">
        <v>6.73</v>
      </c>
      <c r="AB33" s="161">
        <v>6.4770000000000003</v>
      </c>
      <c r="AC33" s="175" t="s">
        <v>15</v>
      </c>
      <c r="AD33" s="175">
        <f>AB33/road_by_tot!AB33*100</f>
        <v>20.47480558892331</v>
      </c>
      <c r="AE33" s="175">
        <f t="shared" si="3"/>
        <v>-3.7592867756314945</v>
      </c>
    </row>
    <row r="34" spans="1:31" ht="12.75" customHeight="1" x14ac:dyDescent="0.2">
      <c r="A34" s="15"/>
      <c r="B34" s="88" t="s">
        <v>31</v>
      </c>
      <c r="C34" s="150">
        <v>21.803999999999998</v>
      </c>
      <c r="D34" s="151">
        <v>22.184999999999999</v>
      </c>
      <c r="E34" s="151">
        <v>23.507999999999999</v>
      </c>
      <c r="F34" s="151">
        <v>25.611000000000001</v>
      </c>
      <c r="G34" s="151">
        <v>25.806000000000001</v>
      </c>
      <c r="H34" s="151">
        <v>27.716999999999999</v>
      </c>
      <c r="I34" s="151">
        <v>26.678000000000001</v>
      </c>
      <c r="J34" s="151">
        <v>28.071000000000002</v>
      </c>
      <c r="K34" s="151">
        <v>26.896000000000001</v>
      </c>
      <c r="L34" s="151">
        <v>27.331</v>
      </c>
      <c r="M34" s="151">
        <v>27.815000000000001</v>
      </c>
      <c r="N34" s="151">
        <v>25.465</v>
      </c>
      <c r="O34" s="151">
        <v>25.963999999999999</v>
      </c>
      <c r="P34" s="151">
        <v>27.614999999999998</v>
      </c>
      <c r="Q34" s="151">
        <v>24.393999999999998</v>
      </c>
      <c r="R34" s="151">
        <v>25.155999999999999</v>
      </c>
      <c r="S34" s="151">
        <v>23.731999999999999</v>
      </c>
      <c r="T34" s="151">
        <v>21.928000000000001</v>
      </c>
      <c r="U34" s="151">
        <v>20.968</v>
      </c>
      <c r="V34" s="151">
        <v>20.297999999999998</v>
      </c>
      <c r="W34" s="151">
        <v>21.434000000000001</v>
      </c>
      <c r="X34" s="151">
        <v>24.585999999999999</v>
      </c>
      <c r="Y34" s="151">
        <v>26.33</v>
      </c>
      <c r="Z34" s="151">
        <v>25.97</v>
      </c>
      <c r="AA34" s="151">
        <v>26.710999999999999</v>
      </c>
      <c r="AB34" s="151">
        <v>27.861999999999998</v>
      </c>
      <c r="AC34" s="339" t="s">
        <v>31</v>
      </c>
      <c r="AD34" s="339">
        <f>AB34/road_by_tot!AB34*100</f>
        <v>93.903137743925029</v>
      </c>
      <c r="AE34" s="339">
        <f t="shared" si="3"/>
        <v>4.309086144285132</v>
      </c>
    </row>
    <row r="35" spans="1:31" ht="12.75" customHeight="1" x14ac:dyDescent="0.2">
      <c r="A35" s="15"/>
      <c r="B35" s="17" t="s">
        <v>32</v>
      </c>
      <c r="C35" s="372">
        <v>28.356999999999999</v>
      </c>
      <c r="D35" s="168">
        <v>30.288</v>
      </c>
      <c r="E35" s="168">
        <v>32.176000000000002</v>
      </c>
      <c r="F35" s="168">
        <v>30.369</v>
      </c>
      <c r="G35" s="168">
        <v>30.422000000000001</v>
      </c>
      <c r="H35" s="168">
        <v>31.451000000000001</v>
      </c>
      <c r="I35" s="168">
        <v>29.966999999999999</v>
      </c>
      <c r="J35" s="161">
        <v>31.835999999999999</v>
      </c>
      <c r="K35" s="161">
        <v>31.466999999999999</v>
      </c>
      <c r="L35" s="161">
        <v>32.691000000000003</v>
      </c>
      <c r="M35" s="161">
        <v>34.701000000000001</v>
      </c>
      <c r="N35" s="161">
        <v>35.473999999999997</v>
      </c>
      <c r="O35" s="161">
        <v>36.395000000000003</v>
      </c>
      <c r="P35" s="161">
        <v>37.951999999999998</v>
      </c>
      <c r="Q35" s="161">
        <v>32.122999999999998</v>
      </c>
      <c r="R35" s="161">
        <v>32.731999999999999</v>
      </c>
      <c r="S35" s="161">
        <v>33.402000000000001</v>
      </c>
      <c r="T35" s="161">
        <v>30.37</v>
      </c>
      <c r="U35" s="161">
        <v>30.715</v>
      </c>
      <c r="V35" s="269">
        <v>38.816000000000003</v>
      </c>
      <c r="W35" s="161">
        <v>38.106000000000002</v>
      </c>
      <c r="X35" s="161">
        <v>39.26</v>
      </c>
      <c r="Y35" s="161">
        <v>38.555999999999997</v>
      </c>
      <c r="Z35" s="161">
        <v>40.661999999999999</v>
      </c>
      <c r="AA35" s="161">
        <v>40.112000000000002</v>
      </c>
      <c r="AB35" s="161">
        <v>40.713999999999999</v>
      </c>
      <c r="AC35" s="175" t="s">
        <v>32</v>
      </c>
      <c r="AD35" s="175">
        <f>AB35/road_by_tot!AB35*100</f>
        <v>94.273739782805009</v>
      </c>
      <c r="AE35" s="175">
        <f t="shared" si="3"/>
        <v>1.5007977662544647</v>
      </c>
    </row>
    <row r="36" spans="1:31" ht="12.75" customHeight="1" x14ac:dyDescent="0.2">
      <c r="A36" s="15"/>
      <c r="B36" s="207" t="s">
        <v>3</v>
      </c>
      <c r="C36" s="208">
        <v>0.5</v>
      </c>
      <c r="D36" s="209">
        <v>0.5</v>
      </c>
      <c r="E36" s="209">
        <v>0.5</v>
      </c>
      <c r="F36" s="209">
        <v>0.5</v>
      </c>
      <c r="G36" s="209">
        <v>0.6</v>
      </c>
      <c r="H36" s="209">
        <v>0.6</v>
      </c>
      <c r="I36" s="195">
        <v>0.64200000000000002</v>
      </c>
      <c r="J36" s="210">
        <v>0.66</v>
      </c>
      <c r="K36" s="210">
        <v>0.67900000000000005</v>
      </c>
      <c r="L36" s="210">
        <v>0.69899999999999995</v>
      </c>
      <c r="M36" s="210">
        <v>0.74099999999999999</v>
      </c>
      <c r="N36" s="210">
        <v>0.78600000000000003</v>
      </c>
      <c r="O36" s="210">
        <v>0.82499999999999996</v>
      </c>
      <c r="P36" s="210">
        <v>0.80500000000000005</v>
      </c>
      <c r="Q36" s="210">
        <v>0.81299999999999994</v>
      </c>
      <c r="R36" s="210">
        <v>0.80600000000000005</v>
      </c>
      <c r="S36" s="211">
        <v>0.77700000000000002</v>
      </c>
      <c r="T36" s="211">
        <v>0.78600000000000003</v>
      </c>
      <c r="U36" s="211">
        <v>0.80800000000000005</v>
      </c>
      <c r="V36" s="211">
        <f>0.85</f>
        <v>0.85</v>
      </c>
      <c r="W36" s="211">
        <v>0.90700000000000003</v>
      </c>
      <c r="X36" s="211">
        <v>1.052</v>
      </c>
      <c r="Y36" s="211">
        <v>1.1499999999999999</v>
      </c>
      <c r="Z36" s="211">
        <f>road_by_tot!Z36</f>
        <v>1.1859999999999999</v>
      </c>
      <c r="AA36" s="211">
        <f>road_by_tot!AA36</f>
        <v>1.1719999999999999</v>
      </c>
      <c r="AB36" s="213">
        <f>road_by_tot!AB36</f>
        <v>1.1679999999999999</v>
      </c>
      <c r="AC36" s="340" t="s">
        <v>3</v>
      </c>
      <c r="AD36" s="340"/>
      <c r="AE36" s="340">
        <f>AB36/AA36*100-100</f>
        <v>-0.34129692832765102</v>
      </c>
    </row>
    <row r="37" spans="1:31" ht="12.75" customHeight="1" x14ac:dyDescent="0.2">
      <c r="A37" s="15"/>
      <c r="B37" s="17" t="s">
        <v>33</v>
      </c>
      <c r="C37" s="114" t="s">
        <v>34</v>
      </c>
      <c r="D37" s="57"/>
      <c r="E37" s="57"/>
      <c r="F37" s="57"/>
      <c r="G37" s="57">
        <v>11.742000000000001</v>
      </c>
      <c r="H37" s="57">
        <v>12.114000000000001</v>
      </c>
      <c r="I37" s="57">
        <v>12.391999999999999</v>
      </c>
      <c r="J37" s="57">
        <v>12.721</v>
      </c>
      <c r="K37" s="57">
        <v>13.522</v>
      </c>
      <c r="L37" s="57">
        <v>14.452999999999999</v>
      </c>
      <c r="M37" s="57">
        <v>15.352</v>
      </c>
      <c r="N37" s="57">
        <v>15.31</v>
      </c>
      <c r="O37" s="57">
        <v>15.427</v>
      </c>
      <c r="P37" s="57">
        <v>16.658000000000001</v>
      </c>
      <c r="Q37" s="57">
        <v>15.276999999999999</v>
      </c>
      <c r="R37" s="57">
        <v>16.344000000000001</v>
      </c>
      <c r="S37" s="57">
        <v>16.131</v>
      </c>
      <c r="T37" s="57">
        <v>16.983000000000001</v>
      </c>
      <c r="U37" s="57">
        <v>18.334</v>
      </c>
      <c r="V37" s="57">
        <v>19.033999999999999</v>
      </c>
      <c r="W37" s="57">
        <v>20.462</v>
      </c>
      <c r="X37" s="57">
        <v>18.513999999999999</v>
      </c>
      <c r="Y37" s="57">
        <v>18.741</v>
      </c>
      <c r="Z37" s="57">
        <v>18.923999999999999</v>
      </c>
      <c r="AA37" s="57">
        <v>19.399999999999999</v>
      </c>
      <c r="AB37" s="57">
        <v>19.234999999999999</v>
      </c>
      <c r="AC37" s="175" t="s">
        <v>33</v>
      </c>
      <c r="AD37" s="175">
        <f>AB37/road_by_tot!AB37*100</f>
        <v>89.887377914855833</v>
      </c>
      <c r="AE37" s="175">
        <f>AB37/AA37*100-100</f>
        <v>-0.85051546391751742</v>
      </c>
    </row>
    <row r="38" spans="1:31" ht="12.75" customHeight="1" x14ac:dyDescent="0.2">
      <c r="A38" s="15"/>
      <c r="B38" s="215" t="s">
        <v>4</v>
      </c>
      <c r="C38" s="224">
        <v>8.3645999999999994</v>
      </c>
      <c r="D38" s="198">
        <v>8.2977000000000007</v>
      </c>
      <c r="E38" s="198">
        <v>8.4506999999999994</v>
      </c>
      <c r="F38" s="198">
        <v>8.8454999999999995</v>
      </c>
      <c r="G38" s="198">
        <v>8.7812999999999999</v>
      </c>
      <c r="H38" s="198">
        <v>8.9329999999999998</v>
      </c>
      <c r="I38" s="198">
        <v>8.6975999999999996</v>
      </c>
      <c r="J38" s="198">
        <v>8.8774999999999995</v>
      </c>
      <c r="K38" s="198">
        <v>8.8863000000000003</v>
      </c>
      <c r="L38" s="198">
        <v>9.1085390263184873</v>
      </c>
      <c r="M38" s="198">
        <v>9.2063329043271853</v>
      </c>
      <c r="N38" s="198">
        <v>9.3537256701993439</v>
      </c>
      <c r="O38" s="389">
        <v>9.6461549614199349</v>
      </c>
      <c r="P38" s="198">
        <v>9.8130000000000006</v>
      </c>
      <c r="Q38" s="198">
        <v>9.6969999999999992</v>
      </c>
      <c r="R38" s="198">
        <v>9.5500000000000007</v>
      </c>
      <c r="S38" s="198">
        <v>9.9120000000000008</v>
      </c>
      <c r="T38" s="198">
        <v>9.9909999999999997</v>
      </c>
      <c r="U38" s="198">
        <v>10.157999999999999</v>
      </c>
      <c r="V38" s="198">
        <v>10.585000000000001</v>
      </c>
      <c r="W38" s="198">
        <v>10.362</v>
      </c>
      <c r="X38" s="198">
        <v>10.138</v>
      </c>
      <c r="Y38" s="198">
        <v>10.238</v>
      </c>
      <c r="Z38" s="198">
        <v>10.715999999999999</v>
      </c>
      <c r="AA38" s="198">
        <v>10.582000000000001</v>
      </c>
      <c r="AB38" s="198">
        <v>10.648</v>
      </c>
      <c r="AC38" s="341" t="s">
        <v>4</v>
      </c>
      <c r="AD38" s="341">
        <f>AB38/road_by_tot!AB38*100</f>
        <v>85.279513054621177</v>
      </c>
      <c r="AE38" s="341">
        <f>AB38/AA38*100-100</f>
        <v>0.62370062370061419</v>
      </c>
    </row>
    <row r="39" spans="1:31" ht="12.75" customHeight="1" x14ac:dyDescent="0.2">
      <c r="A39" s="15"/>
      <c r="B39" s="17" t="s">
        <v>96</v>
      </c>
      <c r="C39" s="114"/>
      <c r="D39" s="57"/>
      <c r="E39" s="57"/>
      <c r="F39" s="57"/>
      <c r="G39" s="57"/>
      <c r="H39" s="57"/>
      <c r="I39" s="57"/>
      <c r="J39" s="57"/>
      <c r="K39" s="57"/>
      <c r="L39" s="57"/>
      <c r="M39" s="57"/>
      <c r="N39" s="57"/>
      <c r="O39" s="57"/>
      <c r="P39" s="57"/>
      <c r="Q39" s="57"/>
      <c r="R39" s="57"/>
      <c r="S39" s="57"/>
      <c r="T39" s="57"/>
      <c r="U39" s="57"/>
      <c r="V39" s="57"/>
      <c r="W39" s="57"/>
      <c r="X39" s="57">
        <v>6.9000000000000006E-2</v>
      </c>
      <c r="Y39" s="57">
        <v>6.0999999999999999E-2</v>
      </c>
      <c r="Z39" s="57">
        <v>4.9000000000000002E-2</v>
      </c>
      <c r="AA39" s="154">
        <v>5.5148000000000003E-2</v>
      </c>
      <c r="AB39" s="154">
        <v>5.8000000000000003E-2</v>
      </c>
      <c r="AC39" s="17" t="s">
        <v>96</v>
      </c>
      <c r="AD39" s="175">
        <f>AB39/road_by_tot!AB39*100</f>
        <v>63.736263736263744</v>
      </c>
      <c r="AE39" s="175">
        <f t="shared" si="3"/>
        <v>5.1715384057445419</v>
      </c>
    </row>
    <row r="40" spans="1:31" ht="12.75" customHeight="1" x14ac:dyDescent="0.2">
      <c r="A40" s="15"/>
      <c r="B40" s="193" t="s">
        <v>2</v>
      </c>
      <c r="C40" s="205" t="s">
        <v>34</v>
      </c>
      <c r="D40" s="195"/>
      <c r="E40" s="195"/>
      <c r="F40" s="195"/>
      <c r="G40" s="195"/>
      <c r="H40" s="195"/>
      <c r="I40" s="195"/>
      <c r="J40" s="195"/>
      <c r="K40" s="195"/>
      <c r="L40" s="195"/>
      <c r="M40" s="195">
        <v>1.405</v>
      </c>
      <c r="N40" s="195">
        <v>1.542</v>
      </c>
      <c r="O40" s="195">
        <v>1.28</v>
      </c>
      <c r="P40" s="195">
        <v>0.92600000000000005</v>
      </c>
      <c r="Q40" s="195">
        <v>1.2649999999999999</v>
      </c>
      <c r="R40" s="195">
        <v>1.246</v>
      </c>
      <c r="S40" s="195">
        <v>0.94599999999999995</v>
      </c>
      <c r="T40" s="195">
        <v>0.94499999999999995</v>
      </c>
      <c r="U40" s="195">
        <v>0.86099999999999999</v>
      </c>
      <c r="V40" s="195">
        <v>1.1279999999999999</v>
      </c>
      <c r="W40" s="195">
        <v>1.0740000000000001</v>
      </c>
      <c r="X40" s="195">
        <v>1.1739999999999999</v>
      </c>
      <c r="Y40" s="195">
        <v>1.3520000000000001</v>
      </c>
      <c r="Z40" s="195">
        <v>1.403</v>
      </c>
      <c r="AA40" s="195">
        <v>1.508</v>
      </c>
      <c r="AB40" s="195">
        <f>1.499</f>
        <v>1.4990000000000001</v>
      </c>
      <c r="AC40" s="193" t="s">
        <v>2</v>
      </c>
      <c r="AD40" s="422">
        <f>AB40/road_by_tot!AB40*100</f>
        <v>14.083051484404359</v>
      </c>
      <c r="AE40" s="422">
        <f t="shared" si="3"/>
        <v>-0.59681697612731455</v>
      </c>
    </row>
    <row r="41" spans="1:31" ht="12.75" customHeight="1" x14ac:dyDescent="0.2">
      <c r="A41" s="15"/>
      <c r="B41" s="17" t="s">
        <v>100</v>
      </c>
      <c r="C41" s="114"/>
      <c r="D41" s="57"/>
      <c r="E41" s="57"/>
      <c r="F41" s="57"/>
      <c r="G41" s="57"/>
      <c r="H41" s="57"/>
      <c r="I41" s="57"/>
      <c r="J41" s="57"/>
      <c r="K41" s="57"/>
      <c r="L41" s="57"/>
      <c r="M41" s="57"/>
      <c r="N41" s="57"/>
      <c r="O41" s="57"/>
      <c r="P41" s="57"/>
      <c r="Q41" s="57"/>
      <c r="R41" s="57"/>
      <c r="S41" s="154"/>
      <c r="T41" s="154"/>
      <c r="U41" s="154"/>
      <c r="V41" s="154"/>
      <c r="W41" s="154"/>
      <c r="X41" s="154"/>
      <c r="Y41" s="154"/>
      <c r="Z41" s="154"/>
      <c r="AA41" s="154"/>
      <c r="AB41" s="154"/>
      <c r="AC41" s="175" t="s">
        <v>100</v>
      </c>
      <c r="AD41" s="175"/>
      <c r="AE41" s="175"/>
    </row>
    <row r="42" spans="1:31" ht="12.75" customHeight="1" x14ac:dyDescent="0.2">
      <c r="A42" s="15"/>
      <c r="B42" s="193" t="s">
        <v>97</v>
      </c>
      <c r="C42" s="20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3" t="s">
        <v>97</v>
      </c>
      <c r="AD42" s="422"/>
      <c r="AE42" s="422"/>
    </row>
    <row r="43" spans="1:31" ht="12.75" customHeight="1" x14ac:dyDescent="0.2">
      <c r="A43" s="15"/>
      <c r="B43" s="18" t="s">
        <v>17</v>
      </c>
      <c r="C43" s="115">
        <v>112.5</v>
      </c>
      <c r="D43" s="58">
        <v>135.80000000000001</v>
      </c>
      <c r="E43" s="58">
        <v>139.80000000000001</v>
      </c>
      <c r="F43" s="58">
        <v>152.21</v>
      </c>
      <c r="G43" s="58">
        <v>150.97399999999999</v>
      </c>
      <c r="H43" s="58">
        <v>161.55199999999999</v>
      </c>
      <c r="I43" s="58">
        <v>151.42099999999999</v>
      </c>
      <c r="J43" s="58">
        <v>150.91200000000001</v>
      </c>
      <c r="K43" s="58">
        <v>152.16300000000001</v>
      </c>
      <c r="L43" s="58">
        <v>156.85300000000001</v>
      </c>
      <c r="M43" s="58">
        <v>166.83099999999999</v>
      </c>
      <c r="N43" s="58">
        <v>177.399</v>
      </c>
      <c r="O43" s="58">
        <v>181.33</v>
      </c>
      <c r="P43" s="58">
        <v>181.935</v>
      </c>
      <c r="Q43" s="58">
        <v>176.45500000000001</v>
      </c>
      <c r="R43" s="58">
        <v>190.36500000000001</v>
      </c>
      <c r="S43" s="58">
        <v>203.072</v>
      </c>
      <c r="T43" s="58">
        <v>216.12299999999999</v>
      </c>
      <c r="U43" s="58">
        <v>224.048</v>
      </c>
      <c r="V43" s="58">
        <v>234.49199999999999</v>
      </c>
      <c r="W43" s="58">
        <v>244.32900000000001</v>
      </c>
      <c r="X43" s="58">
        <v>253.13900000000001</v>
      </c>
      <c r="Y43" s="58">
        <v>262.8</v>
      </c>
      <c r="Z43" s="58">
        <v>266.50200000000001</v>
      </c>
      <c r="AA43" s="58">
        <v>267.57900000000001</v>
      </c>
      <c r="AB43" s="58">
        <f>road_by_tot!AB43</f>
        <v>272.91300000000001</v>
      </c>
      <c r="AC43" s="18" t="s">
        <v>17</v>
      </c>
      <c r="AD43" s="348"/>
      <c r="AE43" s="348">
        <f t="shared" si="3"/>
        <v>1.9934299776888338</v>
      </c>
    </row>
    <row r="44" spans="1:31" ht="12.75" customHeight="1" x14ac:dyDescent="0.2">
      <c r="A44" s="15"/>
      <c r="B44" s="279" t="s">
        <v>21</v>
      </c>
      <c r="C44" s="335">
        <v>146.714</v>
      </c>
      <c r="D44" s="336">
        <v>150.19499999999999</v>
      </c>
      <c r="E44" s="336">
        <v>152.50200000000001</v>
      </c>
      <c r="F44" s="336">
        <v>155.43100000000001</v>
      </c>
      <c r="G44" s="336">
        <v>149.01900000000001</v>
      </c>
      <c r="H44" s="336">
        <v>150.33699999999999</v>
      </c>
      <c r="I44" s="336">
        <v>149.76</v>
      </c>
      <c r="J44" s="336">
        <v>150.91999999999999</v>
      </c>
      <c r="K44" s="336">
        <v>153.93299999999999</v>
      </c>
      <c r="L44" s="336">
        <v>151.179</v>
      </c>
      <c r="M44" s="336">
        <v>151.21799999999999</v>
      </c>
      <c r="N44" s="336">
        <v>154.77000000000001</v>
      </c>
      <c r="O44" s="336">
        <v>160.708</v>
      </c>
      <c r="P44" s="336">
        <v>151.14500000000001</v>
      </c>
      <c r="Q44" s="336">
        <v>131.61600000000001</v>
      </c>
      <c r="R44" s="336">
        <v>137.75299999999999</v>
      </c>
      <c r="S44" s="337">
        <v>139.916</v>
      </c>
      <c r="T44" s="337">
        <v>142.55199999999999</v>
      </c>
      <c r="U44" s="337">
        <v>131.334</v>
      </c>
      <c r="V44" s="337">
        <v>127.672</v>
      </c>
      <c r="W44" s="337">
        <v>142.86799999999999</v>
      </c>
      <c r="X44" s="337">
        <v>148.721</v>
      </c>
      <c r="Y44" s="337">
        <v>147.34899999999999</v>
      </c>
      <c r="Z44" s="337">
        <v>151.916</v>
      </c>
      <c r="AA44" s="337">
        <v>154.41900000000001</v>
      </c>
      <c r="AB44" s="337"/>
      <c r="AC44" s="283" t="s">
        <v>21</v>
      </c>
      <c r="AD44" s="283"/>
      <c r="AE44" s="283"/>
    </row>
    <row r="45" spans="1:31" ht="18.75" customHeight="1" x14ac:dyDescent="0.2">
      <c r="A45" s="15"/>
    </row>
    <row r="46" spans="1:31" ht="25.5" customHeight="1" x14ac:dyDescent="0.2">
      <c r="A46" s="15"/>
      <c r="B46" s="571" t="s">
        <v>149</v>
      </c>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352"/>
      <c r="AE46" s="131"/>
    </row>
    <row r="47" spans="1:31" ht="12.75" customHeight="1" x14ac:dyDescent="0.2">
      <c r="A47" s="15"/>
      <c r="B47" s="408"/>
      <c r="F47" s="131"/>
      <c r="U47" s="304"/>
      <c r="X47" s="304"/>
    </row>
    <row r="48" spans="1:31" x14ac:dyDescent="0.2">
      <c r="O48" s="1"/>
      <c r="AD48" s="352"/>
    </row>
    <row r="49" spans="2:25" x14ac:dyDescent="0.2">
      <c r="B49" s="1"/>
      <c r="S49" s="161"/>
      <c r="T49" s="161"/>
      <c r="U49" s="161"/>
      <c r="V49" s="161"/>
      <c r="W49" s="161"/>
      <c r="X49" s="379"/>
      <c r="Y49" s="1"/>
    </row>
    <row r="83" spans="10:12" ht="14.25" x14ac:dyDescent="0.2">
      <c r="J83" s="181"/>
      <c r="K83" s="180"/>
      <c r="L83" s="180"/>
    </row>
    <row r="84" spans="10:12" x14ac:dyDescent="0.2">
      <c r="J84" s="181"/>
      <c r="K84" s="181"/>
    </row>
  </sheetData>
  <mergeCells count="5">
    <mergeCell ref="B2:AC2"/>
    <mergeCell ref="B3:AC3"/>
    <mergeCell ref="AD2:AD5"/>
    <mergeCell ref="B46:AC46"/>
    <mergeCell ref="Z4:AB4"/>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AE57"/>
  <sheetViews>
    <sheetView topLeftCell="A12" zoomScaleNormal="100" workbookViewId="0">
      <selection activeCell="A48" sqref="A48"/>
    </sheetView>
  </sheetViews>
  <sheetFormatPr defaultRowHeight="12.75" x14ac:dyDescent="0.2"/>
  <cols>
    <col min="1" max="1" width="3.7109375" customWidth="1"/>
    <col min="2" max="2" width="5.28515625" customWidth="1"/>
    <col min="3" max="3" width="7.7109375" customWidth="1"/>
    <col min="4" max="7" width="6.7109375" customWidth="1"/>
    <col min="8" max="13" width="7.7109375" customWidth="1"/>
    <col min="14" max="25" width="8.28515625" customWidth="1"/>
    <col min="26" max="28" width="7.140625" customWidth="1"/>
    <col min="29" max="29" width="5.42578125" customWidth="1"/>
    <col min="30" max="30" width="5.7109375" customWidth="1"/>
    <col min="31" max="31" width="6.42578125" style="381" customWidth="1"/>
  </cols>
  <sheetData>
    <row r="1" spans="1:31" ht="14.25" customHeight="1" x14ac:dyDescent="0.2">
      <c r="B1" s="40"/>
      <c r="C1" s="38"/>
      <c r="D1" s="38"/>
      <c r="E1" s="38"/>
      <c r="F1" s="38"/>
      <c r="G1" s="38"/>
      <c r="H1" s="38"/>
      <c r="I1" s="38"/>
      <c r="J1" s="41"/>
      <c r="AC1" s="39" t="s">
        <v>79</v>
      </c>
    </row>
    <row r="2" spans="1:31" s="80" customFormat="1" ht="21" customHeight="1" x14ac:dyDescent="0.2">
      <c r="B2" s="546" t="s">
        <v>130</v>
      </c>
      <c r="C2" s="565"/>
      <c r="D2" s="565"/>
      <c r="E2" s="565"/>
      <c r="F2" s="565"/>
      <c r="G2" s="565"/>
      <c r="H2" s="565"/>
      <c r="I2" s="565"/>
      <c r="J2" s="565"/>
      <c r="K2" s="565"/>
      <c r="L2" s="565"/>
      <c r="M2" s="565"/>
      <c r="N2" s="565"/>
      <c r="O2" s="565"/>
      <c r="P2" s="565"/>
      <c r="Q2" s="565"/>
      <c r="R2" s="61"/>
      <c r="S2" s="61"/>
      <c r="T2" s="61"/>
      <c r="U2" s="61"/>
      <c r="V2" s="61"/>
      <c r="W2" s="61"/>
      <c r="X2" s="61"/>
      <c r="Y2" s="61"/>
      <c r="Z2" s="61"/>
      <c r="AA2" s="430"/>
      <c r="AB2" s="452"/>
      <c r="AC2" s="135"/>
      <c r="AD2" s="575" t="s">
        <v>90</v>
      </c>
      <c r="AE2" s="382"/>
    </row>
    <row r="3" spans="1:31" ht="33.75" customHeight="1" x14ac:dyDescent="0.2">
      <c r="B3" s="566" t="s">
        <v>128</v>
      </c>
      <c r="C3" s="567"/>
      <c r="D3" s="567"/>
      <c r="E3" s="567"/>
      <c r="F3" s="567"/>
      <c r="G3" s="567"/>
      <c r="H3" s="567"/>
      <c r="I3" s="567"/>
      <c r="J3" s="567"/>
      <c r="K3" s="567"/>
      <c r="L3" s="567"/>
      <c r="M3" s="567"/>
      <c r="N3" s="567"/>
      <c r="O3" s="567"/>
      <c r="P3" s="567"/>
      <c r="Q3" s="567"/>
      <c r="R3" s="48"/>
      <c r="S3" s="48"/>
      <c r="T3" s="48"/>
      <c r="U3" s="48"/>
      <c r="V3" s="48"/>
      <c r="W3" s="48"/>
      <c r="X3" s="48"/>
      <c r="Y3" s="48"/>
      <c r="Z3" s="48"/>
      <c r="AA3" s="431"/>
      <c r="AB3" s="453"/>
      <c r="AC3" s="136"/>
      <c r="AD3" s="576"/>
      <c r="AE3" s="383"/>
    </row>
    <row r="4" spans="1:31" ht="11.25" customHeight="1" x14ac:dyDescent="0.2">
      <c r="B4" s="4"/>
      <c r="C4" s="54"/>
      <c r="D4" s="54"/>
      <c r="E4" s="54"/>
      <c r="F4" s="54"/>
      <c r="G4" s="54"/>
      <c r="H4" s="54"/>
      <c r="J4" s="21"/>
      <c r="K4" s="21"/>
      <c r="L4" s="21"/>
      <c r="Q4" s="178"/>
      <c r="R4" s="21"/>
      <c r="S4" s="21"/>
      <c r="T4" s="21"/>
      <c r="U4" s="21"/>
      <c r="V4" s="21"/>
      <c r="W4" s="21"/>
      <c r="Y4" s="178"/>
      <c r="Z4" s="580" t="s">
        <v>95</v>
      </c>
      <c r="AA4" s="580"/>
      <c r="AB4" s="580"/>
      <c r="AC4" s="314"/>
      <c r="AD4" s="576"/>
      <c r="AE4" s="384"/>
    </row>
    <row r="5" spans="1:31" ht="20.100000000000001" customHeight="1" x14ac:dyDescent="0.2">
      <c r="B5" s="4"/>
      <c r="C5" s="84">
        <v>1995</v>
      </c>
      <c r="D5" s="85">
        <v>1996</v>
      </c>
      <c r="E5" s="85">
        <v>1997</v>
      </c>
      <c r="F5" s="85">
        <v>1998</v>
      </c>
      <c r="G5" s="85">
        <v>1999</v>
      </c>
      <c r="H5" s="85">
        <v>2000</v>
      </c>
      <c r="I5" s="85">
        <v>2001</v>
      </c>
      <c r="J5" s="85">
        <v>2002</v>
      </c>
      <c r="K5" s="85">
        <v>2003</v>
      </c>
      <c r="L5" s="85">
        <v>2004</v>
      </c>
      <c r="M5" s="85">
        <v>2005</v>
      </c>
      <c r="N5" s="85">
        <v>2006</v>
      </c>
      <c r="O5" s="85">
        <v>2007</v>
      </c>
      <c r="P5" s="85">
        <v>2008</v>
      </c>
      <c r="Q5" s="85">
        <v>2009</v>
      </c>
      <c r="R5" s="85">
        <v>2010</v>
      </c>
      <c r="S5" s="85">
        <v>2011</v>
      </c>
      <c r="T5" s="85">
        <v>2012</v>
      </c>
      <c r="U5" s="85">
        <v>2013</v>
      </c>
      <c r="V5" s="85">
        <v>2014</v>
      </c>
      <c r="W5" s="85">
        <v>2015</v>
      </c>
      <c r="X5" s="85">
        <v>2016</v>
      </c>
      <c r="Y5" s="85">
        <v>2017</v>
      </c>
      <c r="Z5" s="303">
        <v>2018</v>
      </c>
      <c r="AA5" s="85">
        <v>2019</v>
      </c>
      <c r="AB5" s="460">
        <v>2020</v>
      </c>
      <c r="AC5" s="338"/>
      <c r="AD5" s="577"/>
      <c r="AE5" s="385" t="s">
        <v>146</v>
      </c>
    </row>
    <row r="6" spans="1:31" ht="9.9499999999999993" customHeight="1" x14ac:dyDescent="0.2">
      <c r="B6" s="4"/>
      <c r="C6" s="86"/>
      <c r="D6" s="83"/>
      <c r="E6" s="83"/>
      <c r="F6" s="83"/>
      <c r="G6" s="83"/>
      <c r="H6" s="83"/>
      <c r="I6" s="83"/>
      <c r="J6" s="83"/>
      <c r="K6" s="83"/>
      <c r="L6" s="83"/>
      <c r="M6" s="83"/>
      <c r="N6" s="83"/>
      <c r="O6" s="83"/>
      <c r="P6" s="83"/>
      <c r="Q6" s="83"/>
      <c r="R6" s="83"/>
      <c r="S6" s="83"/>
      <c r="T6" s="83"/>
      <c r="U6" s="83"/>
      <c r="V6" s="83"/>
      <c r="W6" s="83"/>
      <c r="X6" s="83"/>
      <c r="Y6" s="83"/>
      <c r="Z6" s="83"/>
      <c r="AA6" s="83"/>
      <c r="AB6" s="83"/>
      <c r="AC6" s="90"/>
      <c r="AD6" s="137">
        <v>2020</v>
      </c>
      <c r="AE6" s="386" t="s">
        <v>63</v>
      </c>
    </row>
    <row r="7" spans="1:31" ht="12.75" customHeight="1" x14ac:dyDescent="0.2">
      <c r="B7" s="279" t="s">
        <v>112</v>
      </c>
      <c r="C7" s="287"/>
      <c r="D7" s="287"/>
      <c r="E7" s="287"/>
      <c r="F7" s="287"/>
      <c r="G7" s="287"/>
      <c r="H7" s="287">
        <f>SUM(H9:H35)</f>
        <v>406.29499999999996</v>
      </c>
      <c r="I7" s="287">
        <f t="shared" ref="I7:V7" si="0">SUM(I9:I35)</f>
        <v>433.54399999999998</v>
      </c>
      <c r="J7" s="287">
        <f t="shared" si="0"/>
        <v>457.93099999999987</v>
      </c>
      <c r="K7" s="287">
        <f t="shared" si="0"/>
        <v>467.04599999999994</v>
      </c>
      <c r="L7" s="287">
        <f t="shared" si="0"/>
        <v>539.81100000000015</v>
      </c>
      <c r="M7" s="287">
        <f t="shared" si="0"/>
        <v>558.70600000000013</v>
      </c>
      <c r="N7" s="287">
        <f t="shared" si="0"/>
        <v>595.07399999999973</v>
      </c>
      <c r="O7" s="287">
        <f t="shared" si="0"/>
        <v>616.899</v>
      </c>
      <c r="P7" s="287">
        <f t="shared" si="0"/>
        <v>606.1930000000001</v>
      </c>
      <c r="Q7" s="287">
        <f t="shared" si="0"/>
        <v>533.14699999999993</v>
      </c>
      <c r="R7" s="287">
        <f t="shared" si="0"/>
        <v>574.2589999999999</v>
      </c>
      <c r="S7" s="287">
        <f t="shared" si="0"/>
        <v>566.84799999999996</v>
      </c>
      <c r="T7" s="287">
        <f t="shared" si="0"/>
        <v>568.22500000000014</v>
      </c>
      <c r="U7" s="287">
        <f t="shared" si="0"/>
        <v>597.70100000000002</v>
      </c>
      <c r="V7" s="287">
        <f t="shared" si="0"/>
        <v>606.54899999999998</v>
      </c>
      <c r="W7" s="287">
        <f>SUM(W9:W35)</f>
        <v>612.57199999999989</v>
      </c>
      <c r="X7" s="287">
        <f t="shared" ref="X7:AB7" si="1">SUM(X9:X35)</f>
        <v>646.54499999999996</v>
      </c>
      <c r="Y7" s="287">
        <f t="shared" si="1"/>
        <v>694.3119999999999</v>
      </c>
      <c r="Z7" s="287">
        <f t="shared" si="1"/>
        <v>675.30300000000011</v>
      </c>
      <c r="AA7" s="287">
        <f t="shared" si="1"/>
        <v>702.30500000000006</v>
      </c>
      <c r="AB7" s="287">
        <f t="shared" si="1"/>
        <v>695.178</v>
      </c>
      <c r="AC7" s="279" t="s">
        <v>112</v>
      </c>
      <c r="AD7" s="283">
        <f>AB7/road_by_tot!AB7*100</f>
        <v>38.54733176595839</v>
      </c>
      <c r="AE7" s="283">
        <f>AB7/AA7*100-100</f>
        <v>-1.0148012615601658</v>
      </c>
    </row>
    <row r="8" spans="1:31" ht="12.75" customHeight="1" x14ac:dyDescent="0.2">
      <c r="A8" s="15"/>
      <c r="B8" s="279" t="s">
        <v>99</v>
      </c>
      <c r="C8" s="286"/>
      <c r="D8" s="287"/>
      <c r="E8" s="287"/>
      <c r="F8" s="287"/>
      <c r="G8" s="287"/>
      <c r="H8" s="287">
        <f t="shared" ref="H8:AA8" si="2">H7+H44</f>
        <v>421.57899999999995</v>
      </c>
      <c r="I8" s="287">
        <f t="shared" si="2"/>
        <v>447.048</v>
      </c>
      <c r="J8" s="287">
        <f t="shared" si="2"/>
        <v>471.04599999999988</v>
      </c>
      <c r="K8" s="287">
        <f t="shared" si="2"/>
        <v>480.25599999999991</v>
      </c>
      <c r="L8" s="287">
        <f t="shared" si="2"/>
        <v>551.28600000000017</v>
      </c>
      <c r="M8" s="287">
        <f t="shared" si="2"/>
        <v>568.77300000000014</v>
      </c>
      <c r="N8" s="287">
        <f t="shared" si="2"/>
        <v>605.78299999999967</v>
      </c>
      <c r="O8" s="287">
        <f t="shared" si="2"/>
        <v>627.18200000000002</v>
      </c>
      <c r="P8" s="287">
        <f t="shared" si="2"/>
        <v>615.34400000000005</v>
      </c>
      <c r="Q8" s="287">
        <f t="shared" si="2"/>
        <v>541.06799999999998</v>
      </c>
      <c r="R8" s="287">
        <f t="shared" si="2"/>
        <v>583.19099999999992</v>
      </c>
      <c r="S8" s="287">
        <f t="shared" si="2"/>
        <v>575.66399999999999</v>
      </c>
      <c r="T8" s="287">
        <f t="shared" si="2"/>
        <v>576.62200000000018</v>
      </c>
      <c r="U8" s="287">
        <f t="shared" si="2"/>
        <v>606.07000000000005</v>
      </c>
      <c r="V8" s="287">
        <f t="shared" si="2"/>
        <v>614.27</v>
      </c>
      <c r="W8" s="287">
        <f t="shared" si="2"/>
        <v>619.80499999999984</v>
      </c>
      <c r="X8" s="287">
        <f t="shared" si="2"/>
        <v>652.86599999999999</v>
      </c>
      <c r="Y8" s="287">
        <f t="shared" si="2"/>
        <v>700.90199999999993</v>
      </c>
      <c r="Z8" s="287">
        <f t="shared" si="2"/>
        <v>682.4670000000001</v>
      </c>
      <c r="AA8" s="287">
        <f t="shared" si="2"/>
        <v>708.7170000000001</v>
      </c>
      <c r="AB8" s="287"/>
      <c r="AC8" s="279" t="s">
        <v>99</v>
      </c>
      <c r="AD8" s="283"/>
      <c r="AE8" s="283"/>
    </row>
    <row r="9" spans="1:31" ht="12.75" customHeight="1" x14ac:dyDescent="0.2">
      <c r="A9" s="15"/>
      <c r="B9" s="17" t="s">
        <v>22</v>
      </c>
      <c r="C9" s="147">
        <v>26.984000000000002</v>
      </c>
      <c r="D9" s="148">
        <v>25.184999999999999</v>
      </c>
      <c r="E9" s="148">
        <v>25.274000000000004</v>
      </c>
      <c r="F9" s="148">
        <v>24.407</v>
      </c>
      <c r="G9" s="149">
        <v>21.526</v>
      </c>
      <c r="H9" s="148">
        <v>31.292999999999999</v>
      </c>
      <c r="I9" s="148">
        <v>32.616999999999997</v>
      </c>
      <c r="J9" s="148">
        <v>32.496000000000002</v>
      </c>
      <c r="K9" s="148">
        <v>30.959</v>
      </c>
      <c r="L9" s="148">
        <v>28.462</v>
      </c>
      <c r="M9" s="148">
        <v>24.565000000000001</v>
      </c>
      <c r="N9" s="148">
        <v>23.402000000000001</v>
      </c>
      <c r="O9" s="148">
        <v>22.434999999999999</v>
      </c>
      <c r="P9" s="148">
        <v>20.149000000000001</v>
      </c>
      <c r="Q9" s="148">
        <v>18.571999999999999</v>
      </c>
      <c r="R9" s="148">
        <v>17.245999999999999</v>
      </c>
      <c r="S9" s="148">
        <v>15.358000000000001</v>
      </c>
      <c r="T9" s="148">
        <v>13.919</v>
      </c>
      <c r="U9" s="148">
        <v>13.816000000000001</v>
      </c>
      <c r="V9" s="148">
        <v>12.641</v>
      </c>
      <c r="W9" s="406">
        <v>14.8</v>
      </c>
      <c r="X9" s="148">
        <v>13.763999999999999</v>
      </c>
      <c r="Y9" s="148">
        <v>13.587999999999999</v>
      </c>
      <c r="Z9" s="173">
        <v>12.092000000000001</v>
      </c>
      <c r="AA9" s="173">
        <v>13.102</v>
      </c>
      <c r="AB9" s="184">
        <v>12.842000000000001</v>
      </c>
      <c r="AC9" s="17" t="s">
        <v>22</v>
      </c>
      <c r="AD9" s="175">
        <f>AB9/road_by_tot!AB9*100</f>
        <v>37.354198784141488</v>
      </c>
      <c r="AE9" s="175">
        <f t="shared" ref="AE9:AE40" si="3">AB9/AA9*100-100</f>
        <v>-1.9844298580369468</v>
      </c>
    </row>
    <row r="10" spans="1:31" ht="12.75" customHeight="1" x14ac:dyDescent="0.2">
      <c r="A10" s="15"/>
      <c r="B10" s="88" t="s">
        <v>5</v>
      </c>
      <c r="C10" s="150"/>
      <c r="D10" s="151"/>
      <c r="E10" s="151"/>
      <c r="F10" s="151"/>
      <c r="G10" s="151"/>
      <c r="H10" s="151">
        <v>3.343</v>
      </c>
      <c r="I10" s="151">
        <v>4.7370000000000001</v>
      </c>
      <c r="J10" s="151">
        <v>4.8730000000000002</v>
      </c>
      <c r="K10" s="151">
        <v>4.9109999999999996</v>
      </c>
      <c r="L10" s="151">
        <v>7.3490000000000002</v>
      </c>
      <c r="M10" s="151">
        <v>9.3260000000000005</v>
      </c>
      <c r="N10" s="151">
        <v>7.9589999999999996</v>
      </c>
      <c r="O10" s="151">
        <v>8.734</v>
      </c>
      <c r="P10" s="151">
        <v>8.1999999999999993</v>
      </c>
      <c r="Q10" s="151">
        <v>11.436</v>
      </c>
      <c r="R10" s="151">
        <v>13.313000000000001</v>
      </c>
      <c r="S10" s="151">
        <v>14.696</v>
      </c>
      <c r="T10" s="151">
        <v>18.085999999999999</v>
      </c>
      <c r="U10" s="151">
        <v>19.905000000000001</v>
      </c>
      <c r="V10" s="151">
        <v>21.027000000000001</v>
      </c>
      <c r="W10" s="151">
        <v>25.125</v>
      </c>
      <c r="X10" s="151">
        <v>28.085000000000001</v>
      </c>
      <c r="Y10" s="151">
        <v>26.821999999999999</v>
      </c>
      <c r="Z10" s="151">
        <v>19.216000000000001</v>
      </c>
      <c r="AA10" s="151">
        <v>14.832000000000001</v>
      </c>
      <c r="AB10" s="152">
        <v>25.155999999999999</v>
      </c>
      <c r="AC10" s="88" t="s">
        <v>5</v>
      </c>
      <c r="AD10" s="339">
        <f>AB10/road_by_tot!AB10*100</f>
        <v>77.246207701283538</v>
      </c>
      <c r="AE10" s="339">
        <f t="shared" si="3"/>
        <v>69.606256742179056</v>
      </c>
    </row>
    <row r="11" spans="1:31" ht="12.75" customHeight="1" x14ac:dyDescent="0.2">
      <c r="A11" s="15"/>
      <c r="B11" s="17" t="s">
        <v>7</v>
      </c>
      <c r="C11" s="153"/>
      <c r="D11" s="154"/>
      <c r="E11" s="154"/>
      <c r="F11" s="154"/>
      <c r="G11" s="154"/>
      <c r="H11" s="154">
        <v>23.096</v>
      </c>
      <c r="I11" s="154">
        <v>24.06</v>
      </c>
      <c r="J11" s="154">
        <v>27.356000000000002</v>
      </c>
      <c r="K11" s="154">
        <v>29.172000000000001</v>
      </c>
      <c r="L11" s="154">
        <v>29.965</v>
      </c>
      <c r="M11" s="154">
        <v>27.928999999999998</v>
      </c>
      <c r="N11" s="154">
        <v>34.293999999999997</v>
      </c>
      <c r="O11" s="154">
        <v>32.31</v>
      </c>
      <c r="P11" s="154">
        <v>35.128999999999998</v>
      </c>
      <c r="Q11" s="154">
        <v>31.474</v>
      </c>
      <c r="R11" s="154">
        <v>37.07</v>
      </c>
      <c r="S11" s="154">
        <v>39.844999999999999</v>
      </c>
      <c r="T11" s="154">
        <v>36.825000000000003</v>
      </c>
      <c r="U11" s="154">
        <v>39.5</v>
      </c>
      <c r="V11" s="154">
        <v>37.279000000000003</v>
      </c>
      <c r="W11" s="154">
        <v>37.530999999999999</v>
      </c>
      <c r="X11" s="154">
        <v>28.01</v>
      </c>
      <c r="Y11" s="154">
        <v>22.373999999999999</v>
      </c>
      <c r="Z11" s="154">
        <v>17.53</v>
      </c>
      <c r="AA11" s="154">
        <v>14.047000000000001</v>
      </c>
      <c r="AB11" s="174">
        <v>27.818999999999999</v>
      </c>
      <c r="AC11" s="17" t="s">
        <v>7</v>
      </c>
      <c r="AD11" s="175">
        <f>AB11/road_by_tot!AB11*100</f>
        <v>49.597076127651988</v>
      </c>
      <c r="AE11" s="175">
        <f t="shared" si="3"/>
        <v>98.042286609240392</v>
      </c>
    </row>
    <row r="12" spans="1:31" ht="12.75" customHeight="1" x14ac:dyDescent="0.2">
      <c r="A12" s="15"/>
      <c r="B12" s="88" t="s">
        <v>18</v>
      </c>
      <c r="C12" s="150">
        <v>13.072999999999999</v>
      </c>
      <c r="D12" s="151">
        <v>11.868</v>
      </c>
      <c r="E12" s="151">
        <v>11.788</v>
      </c>
      <c r="F12" s="151">
        <v>11.291999999999998</v>
      </c>
      <c r="G12" s="151">
        <v>12.814</v>
      </c>
      <c r="H12" s="151">
        <v>13.021000000000001</v>
      </c>
      <c r="I12" s="151">
        <v>11.269</v>
      </c>
      <c r="J12" s="151">
        <v>11.459</v>
      </c>
      <c r="K12" s="151">
        <v>11.997</v>
      </c>
      <c r="L12" s="151">
        <v>12.574999999999999</v>
      </c>
      <c r="M12" s="151">
        <v>12.241</v>
      </c>
      <c r="N12" s="151">
        <v>9.76</v>
      </c>
      <c r="O12" s="151">
        <v>9.16</v>
      </c>
      <c r="P12" s="151">
        <v>8.7620000000000005</v>
      </c>
      <c r="Q12" s="151">
        <v>6.8739999999999997</v>
      </c>
      <c r="R12" s="151">
        <v>4.4450000000000003</v>
      </c>
      <c r="S12" s="151">
        <v>4.0949999999999998</v>
      </c>
      <c r="T12" s="151">
        <v>4.3869999999999996</v>
      </c>
      <c r="U12" s="151">
        <v>3.855</v>
      </c>
      <c r="V12" s="151">
        <v>3.2410000000000001</v>
      </c>
      <c r="W12" s="151">
        <v>2.9689999999999999</v>
      </c>
      <c r="X12" s="151">
        <v>3.0569999999999999</v>
      </c>
      <c r="Y12" s="151">
        <v>2.9249999999999998</v>
      </c>
      <c r="Z12" s="151">
        <v>2.923</v>
      </c>
      <c r="AA12" s="151">
        <v>2.8260000000000001</v>
      </c>
      <c r="AB12" s="152">
        <v>2.2789999999999999</v>
      </c>
      <c r="AC12" s="88" t="s">
        <v>18</v>
      </c>
      <c r="AD12" s="339">
        <f>AB12/road_by_tot!AB12*100</f>
        <v>15.518180580144355</v>
      </c>
      <c r="AE12" s="339">
        <f t="shared" si="3"/>
        <v>-19.355980184005659</v>
      </c>
    </row>
    <row r="13" spans="1:31" ht="12.75" customHeight="1" x14ac:dyDescent="0.2">
      <c r="A13" s="15"/>
      <c r="B13" s="17" t="s">
        <v>23</v>
      </c>
      <c r="C13" s="153">
        <v>36.501000000000005</v>
      </c>
      <c r="D13" s="154">
        <v>37.405000000000001</v>
      </c>
      <c r="E13" s="154">
        <v>42.781000000000006</v>
      </c>
      <c r="F13" s="154">
        <v>46.99799999999999</v>
      </c>
      <c r="G13" s="154">
        <v>51.539000000000001</v>
      </c>
      <c r="H13" s="154">
        <v>54.179000000000002</v>
      </c>
      <c r="I13" s="154">
        <v>58.948</v>
      </c>
      <c r="J13" s="154">
        <v>59.74</v>
      </c>
      <c r="K13" s="154">
        <v>63.54</v>
      </c>
      <c r="L13" s="154">
        <v>71.448999999999998</v>
      </c>
      <c r="M13" s="154">
        <v>72.486999999999995</v>
      </c>
      <c r="N13" s="154">
        <v>78.637</v>
      </c>
      <c r="O13" s="154">
        <v>82.006</v>
      </c>
      <c r="P13" s="154">
        <v>76.986999999999995</v>
      </c>
      <c r="Q13" s="154">
        <v>61.978999999999999</v>
      </c>
      <c r="R13" s="154">
        <v>60.642000000000003</v>
      </c>
      <c r="S13" s="154">
        <v>58.807000000000002</v>
      </c>
      <c r="T13" s="154">
        <v>52.51</v>
      </c>
      <c r="U13" s="154">
        <v>49.021999999999998</v>
      </c>
      <c r="V13" s="154">
        <v>47.11</v>
      </c>
      <c r="W13" s="154">
        <v>45.165999999999997</v>
      </c>
      <c r="X13" s="154">
        <v>44.094999999999999</v>
      </c>
      <c r="Y13" s="154">
        <v>41.482999999999997</v>
      </c>
      <c r="Z13" s="154">
        <v>40.621000000000002</v>
      </c>
      <c r="AA13" s="154">
        <v>37.838000000000001</v>
      </c>
      <c r="AB13" s="174">
        <v>34.685000000000002</v>
      </c>
      <c r="AC13" s="17" t="s">
        <v>23</v>
      </c>
      <c r="AD13" s="175">
        <f>AB13/road_by_tot!AB13*100</f>
        <v>11.386579036351042</v>
      </c>
      <c r="AE13" s="175">
        <f t="shared" si="3"/>
        <v>-8.3328928590306077</v>
      </c>
    </row>
    <row r="14" spans="1:31" ht="12.75" customHeight="1" x14ac:dyDescent="0.2">
      <c r="A14" s="15"/>
      <c r="B14" s="88" t="s">
        <v>8</v>
      </c>
      <c r="C14" s="155">
        <v>1.1000000000000001</v>
      </c>
      <c r="D14" s="156">
        <v>1.4550000000000001</v>
      </c>
      <c r="E14" s="156">
        <v>2.2629999999999999</v>
      </c>
      <c r="F14" s="156">
        <v>3.2530000000000001</v>
      </c>
      <c r="G14" s="156">
        <v>3.2410000000000001</v>
      </c>
      <c r="H14" s="156">
        <v>3.2170000000000001</v>
      </c>
      <c r="I14" s="151">
        <v>4.1289999999999996</v>
      </c>
      <c r="J14" s="157">
        <v>3.625</v>
      </c>
      <c r="K14" s="151">
        <v>2.4060000000000001</v>
      </c>
      <c r="L14" s="156">
        <v>3.62</v>
      </c>
      <c r="M14" s="156">
        <v>3.9769999999999999</v>
      </c>
      <c r="N14" s="156">
        <v>3.569</v>
      </c>
      <c r="O14" s="156">
        <v>4.4749999999999996</v>
      </c>
      <c r="P14" s="156">
        <v>5.5220000000000002</v>
      </c>
      <c r="Q14" s="156">
        <v>4.0140000000000002</v>
      </c>
      <c r="R14" s="156">
        <v>4.226</v>
      </c>
      <c r="S14" s="156">
        <v>4.3520000000000003</v>
      </c>
      <c r="T14" s="156">
        <v>4.1920000000000002</v>
      </c>
      <c r="U14" s="156">
        <v>4.3940000000000001</v>
      </c>
      <c r="V14" s="156">
        <v>4.7690000000000001</v>
      </c>
      <c r="W14" s="156">
        <v>4.7389999999999999</v>
      </c>
      <c r="X14" s="156">
        <v>4.9240000000000004</v>
      </c>
      <c r="Y14" s="156">
        <v>4.5579999999999998</v>
      </c>
      <c r="Z14" s="156">
        <v>4.0890000000000004</v>
      </c>
      <c r="AA14" s="156">
        <v>3.0840000000000001</v>
      </c>
      <c r="AB14" s="183">
        <v>3.0059999999999998</v>
      </c>
      <c r="AC14" s="88" t="s">
        <v>8</v>
      </c>
      <c r="AD14" s="339">
        <f>AB14/road_by_tot!AB14*100</f>
        <v>70.250058424865628</v>
      </c>
      <c r="AE14" s="339">
        <f t="shared" si="3"/>
        <v>-2.5291828793774442</v>
      </c>
    </row>
    <row r="15" spans="1:31" ht="12.75" customHeight="1" x14ac:dyDescent="0.2">
      <c r="A15" s="15"/>
      <c r="B15" s="17" t="s">
        <v>26</v>
      </c>
      <c r="C15" s="147">
        <v>0.8</v>
      </c>
      <c r="D15" s="148">
        <v>1.6</v>
      </c>
      <c r="E15" s="148">
        <v>2.2999999999999998</v>
      </c>
      <c r="F15" s="148">
        <v>3.5</v>
      </c>
      <c r="G15" s="148">
        <v>2.4689999999999994</v>
      </c>
      <c r="H15" s="148">
        <v>3.9380000000000002</v>
      </c>
      <c r="I15" s="148">
        <v>3.2029999999999998</v>
      </c>
      <c r="J15" s="148">
        <v>3.5449999999999999</v>
      </c>
      <c r="K15" s="148">
        <v>3.7149999999999999</v>
      </c>
      <c r="L15" s="148">
        <v>3.9279999999999999</v>
      </c>
      <c r="M15" s="148">
        <v>3.9260000000000002</v>
      </c>
      <c r="N15" s="148">
        <v>3.6219999999999999</v>
      </c>
      <c r="O15" s="148">
        <v>4.5919999999999996</v>
      </c>
      <c r="P15" s="148">
        <v>4.1369999999999996</v>
      </c>
      <c r="Q15" s="148">
        <v>3.218</v>
      </c>
      <c r="R15" s="148">
        <v>2.7170000000000001</v>
      </c>
      <c r="S15" s="148">
        <v>2.6379999999999999</v>
      </c>
      <c r="T15" s="148">
        <v>2.5569999999999999</v>
      </c>
      <c r="U15" s="148">
        <v>1.9990000000000001</v>
      </c>
      <c r="V15" s="148">
        <v>2.0470000000000002</v>
      </c>
      <c r="W15" s="148">
        <v>2.141</v>
      </c>
      <c r="X15" s="148">
        <v>2.335</v>
      </c>
      <c r="Y15" s="148">
        <v>2.5110000000000001</v>
      </c>
      <c r="Z15" s="148">
        <v>2.1989999999999998</v>
      </c>
      <c r="AA15" s="148">
        <v>2.4420000000000002</v>
      </c>
      <c r="AB15" s="184">
        <v>2.3650000000000002</v>
      </c>
      <c r="AC15" s="17" t="s">
        <v>26</v>
      </c>
      <c r="AD15" s="175">
        <f>AB15/road_by_tot!AB15*100</f>
        <v>20.702030812324935</v>
      </c>
      <c r="AE15" s="175">
        <f t="shared" si="3"/>
        <v>-3.1531531531531556</v>
      </c>
    </row>
    <row r="16" spans="1:31" ht="12.75" customHeight="1" x14ac:dyDescent="0.2">
      <c r="A16" s="15"/>
      <c r="B16" s="88" t="s">
        <v>19</v>
      </c>
      <c r="C16" s="158">
        <v>4</v>
      </c>
      <c r="D16" s="159">
        <v>4.05</v>
      </c>
      <c r="E16" s="159">
        <v>4.12</v>
      </c>
      <c r="F16" s="159">
        <v>4.2</v>
      </c>
      <c r="G16" s="159">
        <v>4.3</v>
      </c>
      <c r="H16" s="159">
        <v>4.5</v>
      </c>
      <c r="I16" s="159">
        <v>4.5999999999999996</v>
      </c>
      <c r="J16" s="159">
        <v>4.7</v>
      </c>
      <c r="K16" s="156">
        <v>4.0640000000000001</v>
      </c>
      <c r="L16" s="156">
        <v>5.0279999999999996</v>
      </c>
      <c r="M16" s="156">
        <v>4.1509999999999998</v>
      </c>
      <c r="N16" s="159">
        <v>7.8650000000000002</v>
      </c>
      <c r="O16" s="151">
        <v>6.0620000000000003</v>
      </c>
      <c r="P16" s="151">
        <v>4.5039999999999996</v>
      </c>
      <c r="Q16" s="151">
        <v>4.3570000000000002</v>
      </c>
      <c r="R16" s="151">
        <v>4.5590000000000002</v>
      </c>
      <c r="S16" s="151">
        <v>3.7879999999999998</v>
      </c>
      <c r="T16" s="151">
        <v>4.3529999999999998</v>
      </c>
      <c r="U16" s="151">
        <v>3.8639999999999999</v>
      </c>
      <c r="V16" s="151">
        <v>4.1040000000000001</v>
      </c>
      <c r="W16" s="151">
        <v>4.7409999999999997</v>
      </c>
      <c r="X16" s="199">
        <v>4.2220000000000004</v>
      </c>
      <c r="Y16" s="159">
        <v>12.906000000000001</v>
      </c>
      <c r="Z16" s="159">
        <v>13.887</v>
      </c>
      <c r="AA16" s="156">
        <v>12.912000000000001</v>
      </c>
      <c r="AB16" s="183">
        <v>12.227</v>
      </c>
      <c r="AC16" s="88" t="s">
        <v>19</v>
      </c>
      <c r="AD16" s="339">
        <f>AB16/road_by_tot!AB16*100</f>
        <v>48.595047891578233</v>
      </c>
      <c r="AE16" s="339">
        <f t="shared" si="3"/>
        <v>-5.3051425030978976</v>
      </c>
    </row>
    <row r="17" spans="1:31" ht="12.75" customHeight="1" x14ac:dyDescent="0.2">
      <c r="A17" s="15"/>
      <c r="B17" s="17" t="s">
        <v>24</v>
      </c>
      <c r="C17" s="160">
        <v>22.855999999999995</v>
      </c>
      <c r="D17" s="161">
        <v>25.742999999999995</v>
      </c>
      <c r="E17" s="161">
        <v>28.866</v>
      </c>
      <c r="F17" s="161">
        <v>33.671000000000006</v>
      </c>
      <c r="G17" s="161">
        <v>36.128</v>
      </c>
      <c r="H17" s="161">
        <v>41.781999999999996</v>
      </c>
      <c r="I17" s="161">
        <v>47.040999999999997</v>
      </c>
      <c r="J17" s="161">
        <v>55.039000000000001</v>
      </c>
      <c r="K17" s="161">
        <v>54.183</v>
      </c>
      <c r="L17" s="161">
        <v>65.807000000000002</v>
      </c>
      <c r="M17" s="161">
        <v>66.843999999999994</v>
      </c>
      <c r="N17" s="161">
        <v>67.2</v>
      </c>
      <c r="O17" s="161">
        <v>68.263999999999996</v>
      </c>
      <c r="P17" s="161">
        <v>67.799000000000007</v>
      </c>
      <c r="Q17" s="161">
        <v>60.835000000000001</v>
      </c>
      <c r="R17" s="161">
        <v>63.874000000000002</v>
      </c>
      <c r="S17" s="161">
        <v>64.52</v>
      </c>
      <c r="T17" s="161">
        <v>65.840999999999994</v>
      </c>
      <c r="U17" s="161">
        <v>65.599999999999994</v>
      </c>
      <c r="V17" s="161">
        <v>67.61</v>
      </c>
      <c r="W17" s="161">
        <v>72.153999999999996</v>
      </c>
      <c r="X17" s="161">
        <v>72.012</v>
      </c>
      <c r="Y17" s="161">
        <v>76.441999999999993</v>
      </c>
      <c r="Z17" s="161">
        <v>80.518000000000001</v>
      </c>
      <c r="AA17" s="161">
        <v>83.647999999999996</v>
      </c>
      <c r="AB17" s="162">
        <v>78.585999999999999</v>
      </c>
      <c r="AC17" s="17" t="s">
        <v>24</v>
      </c>
      <c r="AD17" s="175">
        <f>AB17/road_by_tot!AB17*100</f>
        <v>32.437631053213792</v>
      </c>
      <c r="AE17" s="175">
        <f t="shared" si="3"/>
        <v>-6.0515493496556871</v>
      </c>
    </row>
    <row r="18" spans="1:31" ht="12.75" customHeight="1" x14ac:dyDescent="0.2">
      <c r="A18" s="15"/>
      <c r="B18" s="88" t="s">
        <v>25</v>
      </c>
      <c r="C18" s="155">
        <v>42.9</v>
      </c>
      <c r="D18" s="156">
        <v>43.49799999999999</v>
      </c>
      <c r="E18" s="156">
        <v>42.44</v>
      </c>
      <c r="F18" s="156">
        <v>43.640999999999991</v>
      </c>
      <c r="G18" s="156">
        <v>45.688000000000002</v>
      </c>
      <c r="H18" s="156">
        <v>40.835999999999999</v>
      </c>
      <c r="I18" s="156">
        <v>38.298000000000002</v>
      </c>
      <c r="J18" s="156">
        <v>34.616999999999997</v>
      </c>
      <c r="K18" s="156">
        <v>32.712000000000003</v>
      </c>
      <c r="L18" s="156">
        <v>33.018000000000001</v>
      </c>
      <c r="M18" s="156">
        <v>27.954000000000001</v>
      </c>
      <c r="N18" s="156">
        <v>28.692</v>
      </c>
      <c r="O18" s="156">
        <v>27.824000000000002</v>
      </c>
      <c r="P18" s="156">
        <v>24.425000000000001</v>
      </c>
      <c r="Q18" s="156">
        <v>17.600000000000001</v>
      </c>
      <c r="R18" s="156">
        <v>17.867999999999999</v>
      </c>
      <c r="S18" s="156">
        <v>17.443000000000001</v>
      </c>
      <c r="T18" s="156">
        <v>15.996</v>
      </c>
      <c r="U18" s="156">
        <v>15.76</v>
      </c>
      <c r="V18" s="156">
        <v>14.113</v>
      </c>
      <c r="W18" s="156">
        <v>12.339</v>
      </c>
      <c r="X18" s="156">
        <v>11.638</v>
      </c>
      <c r="Y18" s="156">
        <v>11.815</v>
      </c>
      <c r="Z18" s="156">
        <v>12.250999999999999</v>
      </c>
      <c r="AA18" s="156">
        <v>11.557</v>
      </c>
      <c r="AB18" s="183">
        <v>11.504</v>
      </c>
      <c r="AC18" s="88" t="s">
        <v>25</v>
      </c>
      <c r="AD18" s="339">
        <f>AB18/road_by_tot!AB18*100</f>
        <v>6.7805001679800538</v>
      </c>
      <c r="AE18" s="339">
        <f t="shared" si="3"/>
        <v>-0.45859652158864606</v>
      </c>
    </row>
    <row r="19" spans="1:31" ht="12.75" customHeight="1" x14ac:dyDescent="0.2">
      <c r="A19" s="15"/>
      <c r="B19" s="17" t="s">
        <v>36</v>
      </c>
      <c r="C19" s="114"/>
      <c r="D19" s="57"/>
      <c r="E19" s="57"/>
      <c r="F19" s="141"/>
      <c r="G19" s="57">
        <v>0.81799999999999984</v>
      </c>
      <c r="H19" s="57">
        <v>0.95</v>
      </c>
      <c r="I19" s="57">
        <v>3.57</v>
      </c>
      <c r="J19" s="57">
        <v>3.75</v>
      </c>
      <c r="K19" s="57">
        <v>4.117</v>
      </c>
      <c r="L19" s="57">
        <v>4.4459999999999988</v>
      </c>
      <c r="M19" s="57">
        <v>4.9409999999999998</v>
      </c>
      <c r="N19" s="57">
        <v>4.8840000000000003</v>
      </c>
      <c r="O19" s="57">
        <v>5.38</v>
      </c>
      <c r="P19" s="57">
        <v>4.5979999999999999</v>
      </c>
      <c r="Q19" s="57">
        <v>4.3010000000000002</v>
      </c>
      <c r="R19" s="57">
        <v>4.2329999999999997</v>
      </c>
      <c r="S19" s="57">
        <v>4.5519999999999996</v>
      </c>
      <c r="T19" s="57">
        <v>4.5039999999999996</v>
      </c>
      <c r="U19" s="57">
        <v>4.8490000000000002</v>
      </c>
      <c r="V19" s="57">
        <v>5.45</v>
      </c>
      <c r="W19" s="57">
        <v>6.3840000000000003</v>
      </c>
      <c r="X19" s="57">
        <v>7.351</v>
      </c>
      <c r="Y19" s="57">
        <v>7.6349999999999998</v>
      </c>
      <c r="Z19" s="57">
        <v>8.4</v>
      </c>
      <c r="AA19" s="57">
        <v>8.1660000000000004</v>
      </c>
      <c r="AB19" s="163">
        <v>7.7670000000000003</v>
      </c>
      <c r="AC19" s="170" t="s">
        <v>36</v>
      </c>
      <c r="AD19" s="170">
        <f>AB19/road_by_tot!AB19*100</f>
        <v>63.378212974296197</v>
      </c>
      <c r="AE19" s="170">
        <f t="shared" si="3"/>
        <v>-4.8861131520940546</v>
      </c>
    </row>
    <row r="20" spans="1:31" ht="12.75" customHeight="1" x14ac:dyDescent="0.2">
      <c r="A20" s="15"/>
      <c r="B20" s="88" t="s">
        <v>27</v>
      </c>
      <c r="C20" s="158">
        <v>24.13</v>
      </c>
      <c r="D20" s="159">
        <v>24.425000000000001</v>
      </c>
      <c r="E20" s="159">
        <v>24.753000000000014</v>
      </c>
      <c r="F20" s="159">
        <v>26.330999999999989</v>
      </c>
      <c r="G20" s="159">
        <v>25.323999999999984</v>
      </c>
      <c r="H20" s="159">
        <v>26.427</v>
      </c>
      <c r="I20" s="159">
        <v>31.763999999999999</v>
      </c>
      <c r="J20" s="151">
        <v>32.6</v>
      </c>
      <c r="K20" s="151">
        <v>30.904</v>
      </c>
      <c r="L20" s="151">
        <v>38.808</v>
      </c>
      <c r="M20" s="151">
        <v>40.216999999999999</v>
      </c>
      <c r="N20" s="151">
        <v>31.64</v>
      </c>
      <c r="O20" s="151">
        <v>27.004000000000001</v>
      </c>
      <c r="P20" s="151">
        <v>28.638000000000002</v>
      </c>
      <c r="Q20" s="151">
        <v>22.018000000000001</v>
      </c>
      <c r="R20" s="151">
        <v>26.527999999999999</v>
      </c>
      <c r="S20" s="151">
        <v>15.161</v>
      </c>
      <c r="T20" s="151">
        <v>12.23</v>
      </c>
      <c r="U20" s="151">
        <v>15.266</v>
      </c>
      <c r="V20" s="151">
        <v>15.462</v>
      </c>
      <c r="W20" s="151">
        <v>12.715999999999999</v>
      </c>
      <c r="X20" s="151">
        <v>12.355</v>
      </c>
      <c r="Y20" s="151">
        <v>12.976000000000001</v>
      </c>
      <c r="Z20" s="151">
        <v>13.173999999999999</v>
      </c>
      <c r="AA20" s="151">
        <v>15.494999999999999</v>
      </c>
      <c r="AB20" s="152">
        <v>15.071</v>
      </c>
      <c r="AC20" s="169" t="s">
        <v>27</v>
      </c>
      <c r="AD20" s="169">
        <f>AB20/road_by_tot!AB20*100</f>
        <v>11.312696101244537</v>
      </c>
      <c r="AE20" s="169">
        <f t="shared" si="3"/>
        <v>-2.7363665698612323</v>
      </c>
    </row>
    <row r="21" spans="1:31" ht="12.75" customHeight="1" x14ac:dyDescent="0.2">
      <c r="A21" s="15"/>
      <c r="B21" s="17" t="s">
        <v>6</v>
      </c>
      <c r="C21" s="114"/>
      <c r="D21" s="57"/>
      <c r="E21" s="57"/>
      <c r="F21" s="57"/>
      <c r="G21" s="57"/>
      <c r="H21" s="57">
        <v>0.03</v>
      </c>
      <c r="I21" s="57">
        <v>0.03</v>
      </c>
      <c r="J21" s="57">
        <v>3.6999999999999998E-2</v>
      </c>
      <c r="K21" s="57">
        <v>3.1E-2</v>
      </c>
      <c r="L21" s="57">
        <v>1.7000000000000001E-2</v>
      </c>
      <c r="M21" s="57">
        <v>1.9E-2</v>
      </c>
      <c r="N21" s="57">
        <v>0.02</v>
      </c>
      <c r="O21" s="57">
        <v>1.7999999999999999E-2</v>
      </c>
      <c r="P21" s="57">
        <v>1.2E-2</v>
      </c>
      <c r="Q21" s="57">
        <v>1.7999999999999999E-2</v>
      </c>
      <c r="R21" s="57">
        <v>2.1000000000000001E-2</v>
      </c>
      <c r="S21" s="57">
        <v>1.7999999999999999E-2</v>
      </c>
      <c r="T21" s="57">
        <v>1.7000000000000001E-2</v>
      </c>
      <c r="U21" s="57">
        <v>1.6E-2</v>
      </c>
      <c r="V21" s="57">
        <v>1.2E-2</v>
      </c>
      <c r="W21" s="57">
        <v>1.4999999999999999E-2</v>
      </c>
      <c r="X21" s="57">
        <v>1.7999999999999999E-2</v>
      </c>
      <c r="Y21" s="57">
        <v>2.4E-2</v>
      </c>
      <c r="Z21" s="57">
        <v>2.5999999999999999E-2</v>
      </c>
      <c r="AA21" s="57">
        <v>2.7E-2</v>
      </c>
      <c r="AB21" s="163">
        <v>3.6999999999999998E-2</v>
      </c>
      <c r="AC21" s="170" t="s">
        <v>6</v>
      </c>
      <c r="AD21" s="170">
        <f>AB21/road_by_tot!AB21*100</f>
        <v>5.2186177715091677</v>
      </c>
      <c r="AE21" s="170">
        <f t="shared" si="3"/>
        <v>37.03703703703701</v>
      </c>
    </row>
    <row r="22" spans="1:31" ht="12.75" customHeight="1" x14ac:dyDescent="0.2">
      <c r="A22" s="15"/>
      <c r="B22" s="88" t="s">
        <v>10</v>
      </c>
      <c r="C22" s="150"/>
      <c r="D22" s="151"/>
      <c r="E22" s="151"/>
      <c r="F22" s="151"/>
      <c r="G22" s="151"/>
      <c r="H22" s="151">
        <v>3.3050000000000002</v>
      </c>
      <c r="I22" s="151">
        <v>3.7149999999999999</v>
      </c>
      <c r="J22" s="151">
        <v>4.2329999999999997</v>
      </c>
      <c r="K22" s="151">
        <v>4.4429999999999996</v>
      </c>
      <c r="L22" s="151">
        <v>5</v>
      </c>
      <c r="M22" s="151">
        <v>5.66</v>
      </c>
      <c r="N22" s="151">
        <v>8.0350000000000001</v>
      </c>
      <c r="O22" s="151">
        <v>10.196999999999999</v>
      </c>
      <c r="P22" s="151">
        <v>9.8070000000000004</v>
      </c>
      <c r="Q22" s="151">
        <v>5.9660000000000002</v>
      </c>
      <c r="R22" s="151">
        <v>8.0289999999999999</v>
      </c>
      <c r="S22" s="151">
        <v>9.4849999999999994</v>
      </c>
      <c r="T22" s="151">
        <v>9.5619999999999994</v>
      </c>
      <c r="U22" s="151">
        <v>10.013</v>
      </c>
      <c r="V22" s="151">
        <v>10.929</v>
      </c>
      <c r="W22" s="151">
        <v>11.936999999999999</v>
      </c>
      <c r="X22" s="151">
        <v>11.42</v>
      </c>
      <c r="Y22" s="151">
        <v>11.731999999999999</v>
      </c>
      <c r="Z22" s="151">
        <v>11.538</v>
      </c>
      <c r="AA22" s="151">
        <v>11.615</v>
      </c>
      <c r="AB22" s="152">
        <v>9.9890000000000008</v>
      </c>
      <c r="AC22" s="169" t="s">
        <v>10</v>
      </c>
      <c r="AD22" s="169">
        <f>AB22/road_by_tot!AB22*100</f>
        <v>72.885808099233856</v>
      </c>
      <c r="AE22" s="169">
        <f t="shared" si="3"/>
        <v>-13.999139044339216</v>
      </c>
    </row>
    <row r="23" spans="1:31" ht="12.75" customHeight="1" x14ac:dyDescent="0.2">
      <c r="A23" s="15"/>
      <c r="B23" s="17" t="s">
        <v>11</v>
      </c>
      <c r="C23" s="114"/>
      <c r="D23" s="57"/>
      <c r="E23" s="57"/>
      <c r="F23" s="57"/>
      <c r="G23" s="57"/>
      <c r="H23" s="57">
        <v>6.2350000000000003</v>
      </c>
      <c r="I23" s="57">
        <v>6.7560000000000002</v>
      </c>
      <c r="J23" s="57">
        <v>9.1910000000000007</v>
      </c>
      <c r="K23" s="57">
        <v>9.5039999999999996</v>
      </c>
      <c r="L23" s="57">
        <v>10.066000000000001</v>
      </c>
      <c r="M23" s="57">
        <v>13.77</v>
      </c>
      <c r="N23" s="57">
        <v>15.901999999999999</v>
      </c>
      <c r="O23" s="57">
        <v>17.574000000000002</v>
      </c>
      <c r="P23" s="57">
        <v>17.859000000000002</v>
      </c>
      <c r="Q23" s="57">
        <v>15.124000000000001</v>
      </c>
      <c r="R23" s="57">
        <v>17.106000000000002</v>
      </c>
      <c r="S23" s="57">
        <v>19.192</v>
      </c>
      <c r="T23" s="57">
        <v>21.010999999999999</v>
      </c>
      <c r="U23" s="57">
        <v>23.797999999999998</v>
      </c>
      <c r="V23" s="57">
        <v>25.298999999999999</v>
      </c>
      <c r="W23" s="57">
        <v>23.571999999999999</v>
      </c>
      <c r="X23" s="57">
        <v>28.004000000000001</v>
      </c>
      <c r="Y23" s="57">
        <v>35.914999999999999</v>
      </c>
      <c r="Z23" s="57">
        <v>39.948</v>
      </c>
      <c r="AA23" s="57">
        <v>49.561999999999998</v>
      </c>
      <c r="AB23" s="163">
        <v>51.296999999999997</v>
      </c>
      <c r="AC23" s="170" t="s">
        <v>11</v>
      </c>
      <c r="AD23" s="170">
        <f>AB23/road_by_tot!AB23*100</f>
        <v>92.774723287274824</v>
      </c>
      <c r="AE23" s="170">
        <f t="shared" si="3"/>
        <v>3.5006658326943949</v>
      </c>
    </row>
    <row r="24" spans="1:31" ht="12.75" customHeight="1" x14ac:dyDescent="0.2">
      <c r="A24" s="15"/>
      <c r="B24" s="88" t="s">
        <v>28</v>
      </c>
      <c r="C24" s="150">
        <v>4.9690000000000003</v>
      </c>
      <c r="D24" s="151">
        <v>3.1080000000000001</v>
      </c>
      <c r="E24" s="151">
        <v>4.0060000000000002</v>
      </c>
      <c r="F24" s="151">
        <v>4.6050000000000004</v>
      </c>
      <c r="G24" s="151">
        <v>5.9359999999999999</v>
      </c>
      <c r="H24" s="151">
        <v>7.1950000000000003</v>
      </c>
      <c r="I24" s="151">
        <v>8.2119999999999997</v>
      </c>
      <c r="J24" s="151">
        <v>8.5960000000000001</v>
      </c>
      <c r="K24" s="151">
        <v>9.0790000000000006</v>
      </c>
      <c r="L24" s="151">
        <v>9.0259999999999998</v>
      </c>
      <c r="M24" s="151">
        <v>8.3089999999999993</v>
      </c>
      <c r="N24" s="151">
        <v>8.2629999999999999</v>
      </c>
      <c r="O24" s="151">
        <v>9.0139999999999993</v>
      </c>
      <c r="P24" s="151">
        <v>8.41</v>
      </c>
      <c r="Q24" s="151">
        <v>7.87</v>
      </c>
      <c r="R24" s="151">
        <v>8.1199999999999992</v>
      </c>
      <c r="S24" s="151">
        <v>8.1850000000000005</v>
      </c>
      <c r="T24" s="151">
        <v>6.9059999999999997</v>
      </c>
      <c r="U24" s="151">
        <v>7.8289999999999997</v>
      </c>
      <c r="V24" s="151">
        <v>8.4710000000000001</v>
      </c>
      <c r="W24" s="151">
        <v>6.8710000000000004</v>
      </c>
      <c r="X24" s="151">
        <v>7.2309999999999999</v>
      </c>
      <c r="Y24" s="151">
        <v>7.0750000000000002</v>
      </c>
      <c r="Z24" s="151">
        <v>6.1539999999999999</v>
      </c>
      <c r="AA24" s="151">
        <v>6.72</v>
      </c>
      <c r="AB24" s="152">
        <v>5.6639999999999997</v>
      </c>
      <c r="AC24" s="169" t="s">
        <v>28</v>
      </c>
      <c r="AD24" s="169">
        <f>AB24/road_by_tot!AB24*100</f>
        <v>91.709844559585491</v>
      </c>
      <c r="AE24" s="169">
        <f t="shared" si="3"/>
        <v>-15.714285714285708</v>
      </c>
    </row>
    <row r="25" spans="1:31" ht="12.75" customHeight="1" x14ac:dyDescent="0.2">
      <c r="A25" s="15"/>
      <c r="B25" s="17" t="s">
        <v>9</v>
      </c>
      <c r="C25" s="153"/>
      <c r="D25" s="154"/>
      <c r="E25" s="154"/>
      <c r="F25" s="154"/>
      <c r="G25" s="154"/>
      <c r="H25" s="154">
        <v>6.9790000000000001</v>
      </c>
      <c r="I25" s="154">
        <v>6.6509999999999998</v>
      </c>
      <c r="J25" s="154">
        <v>6.7460000000000004</v>
      </c>
      <c r="K25" s="154">
        <v>7.5380000000000003</v>
      </c>
      <c r="L25" s="154">
        <v>9.6319999999999997</v>
      </c>
      <c r="M25" s="154">
        <v>13.757999999999999</v>
      </c>
      <c r="N25" s="154">
        <v>18.053999999999998</v>
      </c>
      <c r="O25" s="154">
        <v>22.619</v>
      </c>
      <c r="P25" s="154">
        <v>22.716000000000001</v>
      </c>
      <c r="Q25" s="154">
        <v>23.202999999999999</v>
      </c>
      <c r="R25" s="154">
        <v>22.391999999999999</v>
      </c>
      <c r="S25" s="154">
        <v>23.995000000000001</v>
      </c>
      <c r="T25" s="154">
        <v>24.555</v>
      </c>
      <c r="U25" s="154">
        <v>26.571999999999999</v>
      </c>
      <c r="V25" s="154">
        <v>27.887</v>
      </c>
      <c r="W25" s="154">
        <v>27.995999999999999</v>
      </c>
      <c r="X25" s="154">
        <v>28.280999999999999</v>
      </c>
      <c r="Y25" s="154">
        <v>27.744</v>
      </c>
      <c r="Z25" s="154">
        <v>24.969000000000001</v>
      </c>
      <c r="AA25" s="154">
        <v>23.568999999999999</v>
      </c>
      <c r="AB25" s="174">
        <v>19.364000000000001</v>
      </c>
      <c r="AC25" s="170" t="s">
        <v>9</v>
      </c>
      <c r="AD25" s="170">
        <f>AB25/road_by_tot!AB25*100</f>
        <v>60.091857000993052</v>
      </c>
      <c r="AE25" s="170">
        <f t="shared" si="3"/>
        <v>-17.841232126946409</v>
      </c>
    </row>
    <row r="26" spans="1:31" ht="12.75" customHeight="1" x14ac:dyDescent="0.2">
      <c r="A26" s="15"/>
      <c r="B26" s="56" t="s">
        <v>12</v>
      </c>
      <c r="C26" s="158"/>
      <c r="D26" s="159"/>
      <c r="E26" s="159"/>
      <c r="F26" s="159"/>
      <c r="G26" s="159"/>
      <c r="H26" s="159">
        <v>0.05</v>
      </c>
      <c r="I26" s="159">
        <v>0.05</v>
      </c>
      <c r="J26" s="159">
        <v>0.05</v>
      </c>
      <c r="K26" s="159">
        <v>0.05</v>
      </c>
      <c r="L26" s="159">
        <v>0.05</v>
      </c>
      <c r="M26" s="159">
        <v>0.05</v>
      </c>
      <c r="N26" s="159">
        <v>0.05</v>
      </c>
      <c r="O26" s="159">
        <v>0.05</v>
      </c>
      <c r="P26" s="159">
        <v>0.05</v>
      </c>
      <c r="Q26" s="159">
        <v>0.05</v>
      </c>
      <c r="R26" s="159">
        <v>0.05</v>
      </c>
      <c r="S26" s="159">
        <v>0.05</v>
      </c>
      <c r="T26" s="159">
        <v>0.05</v>
      </c>
      <c r="U26" s="159">
        <v>0.05</v>
      </c>
      <c r="V26" s="159">
        <v>0.05</v>
      </c>
      <c r="W26" s="159">
        <v>0.05</v>
      </c>
      <c r="X26" s="159">
        <v>0.05</v>
      </c>
      <c r="Y26" s="159">
        <v>0.05</v>
      </c>
      <c r="Z26" s="159">
        <v>0.05</v>
      </c>
      <c r="AA26" s="159">
        <v>0.05</v>
      </c>
      <c r="AB26" s="159">
        <v>0.05</v>
      </c>
      <c r="AC26" s="270" t="s">
        <v>12</v>
      </c>
      <c r="AD26" s="270">
        <f>AB26/road_by_tot!AB26*100</f>
        <v>20</v>
      </c>
      <c r="AE26" s="270">
        <f t="shared" si="3"/>
        <v>0</v>
      </c>
    </row>
    <row r="27" spans="1:31" ht="12.75" customHeight="1" x14ac:dyDescent="0.2">
      <c r="A27" s="15"/>
      <c r="B27" s="17" t="s">
        <v>20</v>
      </c>
      <c r="C27" s="114">
        <v>40.416999999999994</v>
      </c>
      <c r="D27" s="57">
        <v>42.097000000000008</v>
      </c>
      <c r="E27" s="57">
        <v>43.215999999999994</v>
      </c>
      <c r="F27" s="57">
        <v>50.26</v>
      </c>
      <c r="G27" s="57">
        <v>50.881999999999991</v>
      </c>
      <c r="H27" s="57">
        <v>48.027999999999999</v>
      </c>
      <c r="I27" s="57">
        <v>47.491999999999997</v>
      </c>
      <c r="J27" s="57">
        <v>47.161000000000001</v>
      </c>
      <c r="K27" s="57">
        <v>47.978999999999999</v>
      </c>
      <c r="L27" s="57">
        <v>55.756999999999998</v>
      </c>
      <c r="M27" s="57">
        <v>52.335999999999999</v>
      </c>
      <c r="N27" s="57">
        <v>52.183999999999997</v>
      </c>
      <c r="O27" s="57">
        <v>47.234999999999999</v>
      </c>
      <c r="P27" s="57">
        <v>46.15</v>
      </c>
      <c r="Q27" s="57">
        <v>41.338000000000001</v>
      </c>
      <c r="R27" s="57">
        <v>46.773000000000003</v>
      </c>
      <c r="S27" s="57">
        <v>45.218000000000004</v>
      </c>
      <c r="T27" s="57">
        <v>41.39</v>
      </c>
      <c r="U27" s="57">
        <v>39.781999999999996</v>
      </c>
      <c r="V27" s="57">
        <v>40.085000000000001</v>
      </c>
      <c r="W27" s="57">
        <v>36.731000000000002</v>
      </c>
      <c r="X27" s="57">
        <v>33.725999999999999</v>
      </c>
      <c r="Y27" s="57">
        <v>34.371000000000002</v>
      </c>
      <c r="Z27" s="57">
        <v>34.581000000000003</v>
      </c>
      <c r="AA27" s="57">
        <v>33.518000000000001</v>
      </c>
      <c r="AB27" s="163">
        <v>32.457999999999998</v>
      </c>
      <c r="AC27" s="170" t="s">
        <v>20</v>
      </c>
      <c r="AD27" s="170">
        <f>AB27/road_by_tot!AB27*100</f>
        <v>48.286942679897052</v>
      </c>
      <c r="AE27" s="170">
        <f t="shared" si="3"/>
        <v>-3.1624798615669221</v>
      </c>
    </row>
    <row r="28" spans="1:31" ht="12.75" customHeight="1" x14ac:dyDescent="0.2">
      <c r="A28" s="15"/>
      <c r="B28" s="88" t="s">
        <v>29</v>
      </c>
      <c r="C28" s="150">
        <v>15.430999999999999</v>
      </c>
      <c r="D28" s="151">
        <v>16.356000000000002</v>
      </c>
      <c r="E28" s="151">
        <v>17.041000000000004</v>
      </c>
      <c r="F28" s="151">
        <v>18.585000000000001</v>
      </c>
      <c r="G28" s="151">
        <v>21.701999999999998</v>
      </c>
      <c r="H28" s="159">
        <v>22.733000000000001</v>
      </c>
      <c r="I28" s="159">
        <v>25.077999999999999</v>
      </c>
      <c r="J28" s="159">
        <v>25.835000000000001</v>
      </c>
      <c r="K28" s="159">
        <v>26.52</v>
      </c>
      <c r="L28" s="151">
        <v>26.81</v>
      </c>
      <c r="M28" s="151">
        <v>24.53</v>
      </c>
      <c r="N28" s="151">
        <v>24.75</v>
      </c>
      <c r="O28" s="151">
        <v>22.658000000000001</v>
      </c>
      <c r="P28" s="151">
        <v>19.731999999999999</v>
      </c>
      <c r="Q28" s="151">
        <v>15.584</v>
      </c>
      <c r="R28" s="151">
        <v>14.744999999999999</v>
      </c>
      <c r="S28" s="151">
        <v>14.067</v>
      </c>
      <c r="T28" s="151">
        <v>11.97</v>
      </c>
      <c r="U28" s="151">
        <v>10.36</v>
      </c>
      <c r="V28" s="151">
        <v>10.539</v>
      </c>
      <c r="W28" s="151">
        <v>9.9770000000000003</v>
      </c>
      <c r="X28" s="151">
        <v>9.6340000000000003</v>
      </c>
      <c r="Y28" s="151">
        <v>9.1750000000000007</v>
      </c>
      <c r="Z28" s="151">
        <v>8.8490000000000002</v>
      </c>
      <c r="AA28" s="151">
        <v>9.1950000000000003</v>
      </c>
      <c r="AB28" s="152">
        <v>8.8130000000000006</v>
      </c>
      <c r="AC28" s="169" t="s">
        <v>29</v>
      </c>
      <c r="AD28" s="169">
        <f>AB28/road_by_tot!AB28*100</f>
        <v>34.013894249324586</v>
      </c>
      <c r="AE28" s="169">
        <f t="shared" si="3"/>
        <v>-4.1544317563893429</v>
      </c>
    </row>
    <row r="29" spans="1:31" ht="12.75" customHeight="1" x14ac:dyDescent="0.2">
      <c r="A29" s="15"/>
      <c r="B29" s="17" t="s">
        <v>13</v>
      </c>
      <c r="C29" s="145"/>
      <c r="D29" s="141"/>
      <c r="E29" s="141"/>
      <c r="F29" s="141"/>
      <c r="G29" s="141"/>
      <c r="H29" s="141">
        <v>27.023</v>
      </c>
      <c r="I29" s="141">
        <v>28.228000000000002</v>
      </c>
      <c r="J29" s="141">
        <v>29.818000000000001</v>
      </c>
      <c r="K29" s="141">
        <v>32.988999999999997</v>
      </c>
      <c r="L29" s="57">
        <v>43.981999999999999</v>
      </c>
      <c r="M29" s="57">
        <v>50.886000000000003</v>
      </c>
      <c r="N29" s="57">
        <v>68.894999999999996</v>
      </c>
      <c r="O29" s="57">
        <v>85.11</v>
      </c>
      <c r="P29" s="57">
        <v>93.013000000000005</v>
      </c>
      <c r="Q29" s="57">
        <v>101.53400000000001</v>
      </c>
      <c r="R29" s="57">
        <v>120.09</v>
      </c>
      <c r="S29" s="57">
        <v>117.917</v>
      </c>
      <c r="T29" s="57">
        <v>133.31899999999999</v>
      </c>
      <c r="U29" s="57">
        <v>147.274</v>
      </c>
      <c r="V29" s="57">
        <v>154.303</v>
      </c>
      <c r="W29" s="57">
        <v>156.03399999999999</v>
      </c>
      <c r="X29" s="57">
        <v>184.11500000000001</v>
      </c>
      <c r="Y29" s="57">
        <v>215.184</v>
      </c>
      <c r="Z29" s="57">
        <v>201.18199999999999</v>
      </c>
      <c r="AA29" s="57">
        <v>229.58699999999999</v>
      </c>
      <c r="AB29" s="163">
        <v>231.108</v>
      </c>
      <c r="AC29" s="170" t="s">
        <v>13</v>
      </c>
      <c r="AD29" s="170">
        <f>AB29/road_by_tot!AB29*100</f>
        <v>65.114234758133364</v>
      </c>
      <c r="AE29" s="170">
        <f t="shared" si="3"/>
        <v>0.6624939565393646</v>
      </c>
    </row>
    <row r="30" spans="1:31" ht="12.75" customHeight="1" x14ac:dyDescent="0.2">
      <c r="A30" s="15"/>
      <c r="B30" s="88" t="s">
        <v>30</v>
      </c>
      <c r="C30" s="150">
        <v>15.5</v>
      </c>
      <c r="D30" s="151">
        <v>16.850000000000001</v>
      </c>
      <c r="E30" s="151">
        <v>18.63</v>
      </c>
      <c r="F30" s="151">
        <v>19.05</v>
      </c>
      <c r="G30" s="199">
        <v>11.778</v>
      </c>
      <c r="H30" s="151">
        <v>12.616</v>
      </c>
      <c r="I30" s="151">
        <v>13.616</v>
      </c>
      <c r="J30" s="151">
        <v>14.807</v>
      </c>
      <c r="K30" s="157">
        <v>13.227</v>
      </c>
      <c r="L30" s="151">
        <v>23.384</v>
      </c>
      <c r="M30" s="151">
        <v>25.163</v>
      </c>
      <c r="N30" s="151">
        <v>27.295000000000002</v>
      </c>
      <c r="O30" s="151">
        <v>27.884</v>
      </c>
      <c r="P30" s="151">
        <v>21.977</v>
      </c>
      <c r="Q30" s="151">
        <v>21.384</v>
      </c>
      <c r="R30" s="151">
        <v>22.486999999999998</v>
      </c>
      <c r="S30" s="151">
        <v>23.78</v>
      </c>
      <c r="T30" s="151">
        <v>21.754000000000001</v>
      </c>
      <c r="U30" s="151">
        <v>26.783000000000001</v>
      </c>
      <c r="V30" s="151">
        <v>24.393999999999998</v>
      </c>
      <c r="W30" s="151">
        <v>21.044</v>
      </c>
      <c r="X30" s="151">
        <v>24.495000000000001</v>
      </c>
      <c r="Y30" s="151">
        <v>23.331</v>
      </c>
      <c r="Z30" s="151">
        <v>22.433</v>
      </c>
      <c r="AA30" s="151">
        <v>20.6</v>
      </c>
      <c r="AB30" s="152">
        <v>15.519</v>
      </c>
      <c r="AC30" s="169" t="s">
        <v>30</v>
      </c>
      <c r="AD30" s="169">
        <f>AB30/road_by_tot!AB30*100</f>
        <v>64.01963615362402</v>
      </c>
      <c r="AE30" s="169">
        <f t="shared" si="3"/>
        <v>-24.665048543689323</v>
      </c>
    </row>
    <row r="31" spans="1:31" ht="12.75" customHeight="1" x14ac:dyDescent="0.2">
      <c r="A31" s="15"/>
      <c r="B31" s="17" t="s">
        <v>14</v>
      </c>
      <c r="C31" s="160"/>
      <c r="D31" s="161"/>
      <c r="E31" s="161"/>
      <c r="F31" s="161"/>
      <c r="G31" s="161">
        <v>3.7289999999999992</v>
      </c>
      <c r="H31" s="167">
        <v>4.4080000000000004</v>
      </c>
      <c r="I31" s="161">
        <v>7.899</v>
      </c>
      <c r="J31" s="161">
        <v>14.37</v>
      </c>
      <c r="K31" s="161">
        <v>17.216000000000001</v>
      </c>
      <c r="L31" s="161">
        <v>22.568999999999999</v>
      </c>
      <c r="M31" s="161">
        <v>32.133000000000003</v>
      </c>
      <c r="N31" s="161">
        <v>34.564999999999998</v>
      </c>
      <c r="O31" s="161">
        <v>35.591000000000001</v>
      </c>
      <c r="P31" s="161">
        <v>33.195999999999998</v>
      </c>
      <c r="Q31" s="161">
        <v>13.39</v>
      </c>
      <c r="R31" s="161">
        <v>13.792999999999999</v>
      </c>
      <c r="S31" s="161">
        <v>14.491</v>
      </c>
      <c r="T31" s="161">
        <v>16.989000000000001</v>
      </c>
      <c r="U31" s="161">
        <v>21.521999999999998</v>
      </c>
      <c r="V31" s="161">
        <v>23</v>
      </c>
      <c r="W31" s="161">
        <v>26.954999999999998</v>
      </c>
      <c r="X31" s="161">
        <v>35.036000000000001</v>
      </c>
      <c r="Y31" s="161">
        <v>41.155999999999999</v>
      </c>
      <c r="Z31" s="161">
        <v>44.404000000000003</v>
      </c>
      <c r="AA31" s="161">
        <v>44.366999999999997</v>
      </c>
      <c r="AB31" s="162">
        <v>37.746000000000002</v>
      </c>
      <c r="AC31" s="170" t="s">
        <v>14</v>
      </c>
      <c r="AD31" s="170">
        <f>AB31/road_by_tot!AB31*100</f>
        <v>68.595416795391344</v>
      </c>
      <c r="AE31" s="170">
        <f t="shared" si="3"/>
        <v>-14.923253769693673</v>
      </c>
    </row>
    <row r="32" spans="1:31" ht="12.75" customHeight="1" x14ac:dyDescent="0.2">
      <c r="A32" s="15"/>
      <c r="B32" s="88" t="s">
        <v>16</v>
      </c>
      <c r="C32" s="150"/>
      <c r="D32" s="151"/>
      <c r="E32" s="151"/>
      <c r="F32" s="151"/>
      <c r="G32" s="151"/>
      <c r="H32" s="151">
        <v>3.4</v>
      </c>
      <c r="I32" s="151">
        <v>5.1079999999999997</v>
      </c>
      <c r="J32" s="151">
        <v>4.6639999999999997</v>
      </c>
      <c r="K32" s="151">
        <v>5.0449999999999999</v>
      </c>
      <c r="L32" s="151">
        <v>6.74</v>
      </c>
      <c r="M32" s="151">
        <v>8.6720000000000006</v>
      </c>
      <c r="N32" s="151">
        <v>9.8339999999999996</v>
      </c>
      <c r="O32" s="151">
        <v>11.161</v>
      </c>
      <c r="P32" s="151">
        <v>13.625</v>
      </c>
      <c r="Q32" s="151">
        <v>12.486000000000001</v>
      </c>
      <c r="R32" s="151">
        <v>13.643000000000001</v>
      </c>
      <c r="S32" s="151">
        <v>14.262</v>
      </c>
      <c r="T32" s="151">
        <v>14.039</v>
      </c>
      <c r="U32" s="151">
        <v>14.016</v>
      </c>
      <c r="V32" s="151">
        <v>14.211</v>
      </c>
      <c r="W32" s="151">
        <v>15.84</v>
      </c>
      <c r="X32" s="151">
        <v>16.573</v>
      </c>
      <c r="Y32" s="151">
        <v>18.504000000000001</v>
      </c>
      <c r="Z32" s="151">
        <v>19.969000000000001</v>
      </c>
      <c r="AA32" s="151">
        <v>21.706</v>
      </c>
      <c r="AB32" s="152">
        <v>20.387</v>
      </c>
      <c r="AC32" s="169" t="s">
        <v>16</v>
      </c>
      <c r="AD32" s="169">
        <f>AB32/road_by_tot!AB32*100</f>
        <v>89.961168475862678</v>
      </c>
      <c r="AE32" s="169">
        <f t="shared" si="3"/>
        <v>-6.0766608311066079</v>
      </c>
    </row>
    <row r="33" spans="1:31" ht="12.75" customHeight="1" x14ac:dyDescent="0.2">
      <c r="A33" s="15"/>
      <c r="B33" s="17" t="s">
        <v>15</v>
      </c>
      <c r="C33" s="160"/>
      <c r="D33" s="161"/>
      <c r="E33" s="161"/>
      <c r="F33" s="161"/>
      <c r="G33" s="161"/>
      <c r="H33" s="161">
        <v>9.2840000000000007</v>
      </c>
      <c r="I33" s="161">
        <v>8.4819999999999993</v>
      </c>
      <c r="J33" s="161">
        <v>9.91</v>
      </c>
      <c r="K33" s="161">
        <v>11.544</v>
      </c>
      <c r="L33" s="161">
        <v>13.105</v>
      </c>
      <c r="M33" s="161">
        <v>16.945</v>
      </c>
      <c r="N33" s="161">
        <v>17.009</v>
      </c>
      <c r="O33" s="161">
        <v>21.542000000000002</v>
      </c>
      <c r="P33" s="161">
        <v>22.957000000000001</v>
      </c>
      <c r="Q33" s="161">
        <v>22.187000000000001</v>
      </c>
      <c r="R33" s="161">
        <v>22.376999999999999</v>
      </c>
      <c r="S33" s="161">
        <v>24.271999999999998</v>
      </c>
      <c r="T33" s="161">
        <v>24.62</v>
      </c>
      <c r="U33" s="161">
        <v>25.581</v>
      </c>
      <c r="V33" s="161">
        <v>26.265000000000001</v>
      </c>
      <c r="W33" s="161">
        <v>28.295000000000002</v>
      </c>
      <c r="X33" s="161">
        <v>30.440999999999999</v>
      </c>
      <c r="Y33" s="161">
        <v>29.085000000000001</v>
      </c>
      <c r="Z33" s="161">
        <v>29.109000000000002</v>
      </c>
      <c r="AA33" s="161">
        <v>27.210999999999999</v>
      </c>
      <c r="AB33" s="162">
        <v>25.158000000000001</v>
      </c>
      <c r="AC33" s="170" t="s">
        <v>15</v>
      </c>
      <c r="AD33" s="170">
        <f>AB33/road_by_tot!AB33*100</f>
        <v>79.528355566795227</v>
      </c>
      <c r="AE33" s="170">
        <f t="shared" si="3"/>
        <v>-7.5447429348425175</v>
      </c>
    </row>
    <row r="34" spans="1:31" ht="12.75" customHeight="1" x14ac:dyDescent="0.2">
      <c r="A34" s="15"/>
      <c r="B34" s="88" t="s">
        <v>31</v>
      </c>
      <c r="C34" s="150">
        <v>2.6960000000000015</v>
      </c>
      <c r="D34" s="151">
        <v>2.8149999999999999</v>
      </c>
      <c r="E34" s="151">
        <v>2.1920000000000002</v>
      </c>
      <c r="F34" s="151">
        <v>2.4890000000000008</v>
      </c>
      <c r="G34" s="151">
        <v>3.85</v>
      </c>
      <c r="H34" s="151">
        <v>4.258</v>
      </c>
      <c r="I34" s="151">
        <v>3.8</v>
      </c>
      <c r="J34" s="151">
        <v>3.8969999999999998</v>
      </c>
      <c r="K34" s="151">
        <v>4.03</v>
      </c>
      <c r="L34" s="151">
        <v>4.96</v>
      </c>
      <c r="M34" s="151">
        <v>4.0430000000000001</v>
      </c>
      <c r="N34" s="151">
        <v>4.25</v>
      </c>
      <c r="O34" s="151">
        <v>3.855</v>
      </c>
      <c r="P34" s="151">
        <v>3.4209999999999998</v>
      </c>
      <c r="Q34" s="151">
        <v>3.411</v>
      </c>
      <c r="R34" s="151">
        <v>4.3760000000000003</v>
      </c>
      <c r="S34" s="151">
        <v>3.1309999999999998</v>
      </c>
      <c r="T34" s="151">
        <v>3.532</v>
      </c>
      <c r="U34" s="151">
        <v>3.4609999999999999</v>
      </c>
      <c r="V34" s="151">
        <v>3.1030000000000002</v>
      </c>
      <c r="W34" s="151">
        <v>3.0539999999999998</v>
      </c>
      <c r="X34" s="151">
        <v>2.2599999999999998</v>
      </c>
      <c r="Y34" s="156">
        <v>1.6359999999999999</v>
      </c>
      <c r="Z34" s="156">
        <v>2.375</v>
      </c>
      <c r="AA34" s="156">
        <v>2.137</v>
      </c>
      <c r="AB34" s="183">
        <v>1.8080000000000001</v>
      </c>
      <c r="AC34" s="88" t="s">
        <v>31</v>
      </c>
      <c r="AD34" s="339">
        <f>AB34/road_by_tot!AB34*100</f>
        <v>6.0934919618482697</v>
      </c>
      <c r="AE34" s="339">
        <f t="shared" si="3"/>
        <v>-15.395414131960692</v>
      </c>
    </row>
    <row r="35" spans="1:31" ht="12.75" customHeight="1" x14ac:dyDescent="0.2">
      <c r="A35" s="15"/>
      <c r="B35" s="17" t="s">
        <v>32</v>
      </c>
      <c r="C35" s="372">
        <v>3.2430000000000021</v>
      </c>
      <c r="D35" s="168">
        <v>3.0119999999999969</v>
      </c>
      <c r="E35" s="168">
        <v>2.9239999999999995</v>
      </c>
      <c r="F35" s="168">
        <v>2.9309999999999974</v>
      </c>
      <c r="G35" s="168">
        <v>2.7780000000000022</v>
      </c>
      <c r="H35" s="168">
        <v>4.1689999999999996</v>
      </c>
      <c r="I35" s="161">
        <v>4.1909999999999998</v>
      </c>
      <c r="J35" s="161">
        <v>4.8159999999999998</v>
      </c>
      <c r="K35" s="161">
        <v>5.1710000000000003</v>
      </c>
      <c r="L35" s="161">
        <v>4.258</v>
      </c>
      <c r="M35" s="161">
        <v>3.8740000000000001</v>
      </c>
      <c r="N35" s="161">
        <v>4.444</v>
      </c>
      <c r="O35" s="161">
        <v>4.1449999999999996</v>
      </c>
      <c r="P35" s="161">
        <v>4.4180000000000001</v>
      </c>
      <c r="Q35" s="161">
        <v>2.9239999999999999</v>
      </c>
      <c r="R35" s="161">
        <v>3.536</v>
      </c>
      <c r="S35" s="161">
        <v>3.53</v>
      </c>
      <c r="T35" s="161">
        <v>3.1110000000000002</v>
      </c>
      <c r="U35" s="161">
        <v>2.8140000000000001</v>
      </c>
      <c r="V35" s="168">
        <v>3.1480000000000001</v>
      </c>
      <c r="W35" s="168">
        <v>3.3959999999999999</v>
      </c>
      <c r="X35" s="168">
        <v>3.4129999999999998</v>
      </c>
      <c r="Y35" s="168">
        <v>3.2949999999999999</v>
      </c>
      <c r="Z35" s="168">
        <v>2.8159999999999998</v>
      </c>
      <c r="AA35" s="168">
        <v>2.492</v>
      </c>
      <c r="AB35" s="391">
        <v>2.4729999999999999</v>
      </c>
      <c r="AC35" s="170" t="s">
        <v>32</v>
      </c>
      <c r="AD35" s="170">
        <f>AB35/road_by_tot!AB35*100</f>
        <v>5.726260217194989</v>
      </c>
      <c r="AE35" s="170">
        <f t="shared" si="3"/>
        <v>-0.76243980738362893</v>
      </c>
    </row>
    <row r="36" spans="1:31" ht="12.75" customHeight="1" x14ac:dyDescent="0.2">
      <c r="A36" s="15"/>
      <c r="B36" s="207" t="s">
        <v>3</v>
      </c>
      <c r="C36" s="208"/>
      <c r="D36" s="209"/>
      <c r="E36" s="209"/>
      <c r="F36" s="209"/>
      <c r="G36" s="209"/>
      <c r="H36" s="209"/>
      <c r="I36" s="210"/>
      <c r="J36" s="210"/>
      <c r="K36" s="210"/>
      <c r="L36" s="210"/>
      <c r="M36" s="210"/>
      <c r="N36" s="210"/>
      <c r="O36" s="210"/>
      <c r="P36" s="210"/>
      <c r="Q36" s="210"/>
      <c r="R36" s="210"/>
      <c r="S36" s="213"/>
      <c r="T36" s="213"/>
      <c r="U36" s="213"/>
      <c r="V36" s="209"/>
      <c r="W36" s="209"/>
      <c r="X36" s="209"/>
      <c r="Y36" s="209"/>
      <c r="Z36" s="209"/>
      <c r="AA36" s="209"/>
      <c r="AB36" s="226"/>
      <c r="AC36" s="212" t="s">
        <v>3</v>
      </c>
      <c r="AD36" s="212"/>
      <c r="AE36" s="212"/>
    </row>
    <row r="37" spans="1:31" ht="12.75" customHeight="1" x14ac:dyDescent="0.2">
      <c r="A37" s="15"/>
      <c r="B37" s="17" t="s">
        <v>33</v>
      </c>
      <c r="C37" s="114"/>
      <c r="D37" s="57"/>
      <c r="E37" s="57"/>
      <c r="F37" s="57"/>
      <c r="G37" s="57">
        <v>3.1739999999999999</v>
      </c>
      <c r="H37" s="57">
        <v>3.0179999999999998</v>
      </c>
      <c r="I37" s="57">
        <v>2.786</v>
      </c>
      <c r="J37" s="57">
        <v>2.7050000000000001</v>
      </c>
      <c r="K37" s="57">
        <v>3.0670000000000002</v>
      </c>
      <c r="L37" s="57">
        <v>3.0070000000000001</v>
      </c>
      <c r="M37" s="57">
        <v>2.895</v>
      </c>
      <c r="N37" s="57">
        <v>4.077</v>
      </c>
      <c r="O37" s="57">
        <v>3.948</v>
      </c>
      <c r="P37" s="57">
        <v>3.9380000000000002</v>
      </c>
      <c r="Q37" s="57">
        <v>3.17</v>
      </c>
      <c r="R37" s="57">
        <v>3.407</v>
      </c>
      <c r="S37" s="57">
        <v>3.0569999999999999</v>
      </c>
      <c r="T37" s="57">
        <v>3.1880000000000002</v>
      </c>
      <c r="U37" s="57">
        <v>2.9830000000000001</v>
      </c>
      <c r="V37" s="57">
        <v>2.56</v>
      </c>
      <c r="W37" s="57">
        <v>2.6739999999999999</v>
      </c>
      <c r="X37" s="57">
        <v>2.3969999999999998</v>
      </c>
      <c r="Y37" s="57">
        <v>2.645</v>
      </c>
      <c r="Z37" s="57">
        <v>2.4140000000000001</v>
      </c>
      <c r="AA37" s="57">
        <v>2.0630000000000002</v>
      </c>
      <c r="AB37" s="163">
        <v>2.1640000000000001</v>
      </c>
      <c r="AC37" s="170" t="s">
        <v>33</v>
      </c>
      <c r="AD37" s="170">
        <f>AB37/road_by_tot!AB37*100</f>
        <v>10.112622085144165</v>
      </c>
      <c r="AE37" s="170">
        <f>AB37/AA37*100-100</f>
        <v>4.8957828405234949</v>
      </c>
    </row>
    <row r="38" spans="1:31" ht="12.75" customHeight="1" x14ac:dyDescent="0.2">
      <c r="A38" s="15"/>
      <c r="B38" s="215" t="s">
        <v>68</v>
      </c>
      <c r="C38" s="224">
        <v>0.74610000000000021</v>
      </c>
      <c r="D38" s="198">
        <v>0.69840000000000002</v>
      </c>
      <c r="E38" s="198">
        <v>0.68320000000000003</v>
      </c>
      <c r="F38" s="198">
        <v>0.70009999999999994</v>
      </c>
      <c r="G38" s="198">
        <v>0.78369999999999962</v>
      </c>
      <c r="H38" s="198">
        <v>0.85829999999999984</v>
      </c>
      <c r="I38" s="198">
        <v>0.8642000000000003</v>
      </c>
      <c r="J38" s="198">
        <v>0.9372000000000007</v>
      </c>
      <c r="K38" s="198">
        <v>1.0053000000000001</v>
      </c>
      <c r="L38" s="198">
        <v>1.017639457743915</v>
      </c>
      <c r="M38" s="198">
        <v>0.9917115952670702</v>
      </c>
      <c r="N38" s="198">
        <v>1.0790656375524159</v>
      </c>
      <c r="O38" s="196">
        <v>1.1479988834812849</v>
      </c>
      <c r="P38" s="198">
        <v>4.0979999999999999</v>
      </c>
      <c r="Q38" s="198">
        <v>3.4769999999999999</v>
      </c>
      <c r="R38" s="198">
        <v>3.6869999999999998</v>
      </c>
      <c r="S38" s="198">
        <v>3.6549999999999998</v>
      </c>
      <c r="T38" s="198">
        <v>2.9750000000000001</v>
      </c>
      <c r="U38" s="198">
        <v>2.6589999999999998</v>
      </c>
      <c r="V38" s="198">
        <v>2.4820000000000002</v>
      </c>
      <c r="W38" s="198">
        <v>2.0790000000000002</v>
      </c>
      <c r="X38" s="198">
        <v>1.9950000000000001</v>
      </c>
      <c r="Y38" s="198">
        <v>1.7090000000000001</v>
      </c>
      <c r="Z38" s="198">
        <v>1.784</v>
      </c>
      <c r="AA38" s="198">
        <v>1.8169999999999999</v>
      </c>
      <c r="AB38" s="217">
        <v>1.8380000000000001</v>
      </c>
      <c r="AC38" s="235" t="s">
        <v>68</v>
      </c>
      <c r="AD38" s="235">
        <f>AB38/road_by_tot!AB38*100</f>
        <v>14.720486945378825</v>
      </c>
      <c r="AE38" s="235">
        <f>AB38/AA38*100-100</f>
        <v>1.1557512383049158</v>
      </c>
    </row>
    <row r="39" spans="1:31" ht="12.75" customHeight="1" x14ac:dyDescent="0.2">
      <c r="A39" s="15"/>
      <c r="B39" s="17" t="s">
        <v>96</v>
      </c>
      <c r="C39" s="114"/>
      <c r="D39" s="57"/>
      <c r="E39" s="57"/>
      <c r="F39" s="57"/>
      <c r="G39" s="57"/>
      <c r="H39" s="57"/>
      <c r="I39" s="57"/>
      <c r="J39" s="57"/>
      <c r="K39" s="57"/>
      <c r="L39" s="57"/>
      <c r="M39" s="57"/>
      <c r="N39" s="57"/>
      <c r="O39" s="57"/>
      <c r="P39" s="57"/>
      <c r="Q39" s="57"/>
      <c r="R39" s="57"/>
      <c r="S39" s="57"/>
      <c r="T39" s="57"/>
      <c r="U39" s="57"/>
      <c r="V39" s="57"/>
      <c r="W39" s="57"/>
      <c r="X39" s="57">
        <v>5.1999999999999998E-2</v>
      </c>
      <c r="Y39" s="57">
        <v>4.2999999999999997E-2</v>
      </c>
      <c r="Z39" s="436">
        <v>2.9000000000000001E-2</v>
      </c>
      <c r="AA39" s="154">
        <v>2.5999999999999999E-2</v>
      </c>
      <c r="AB39" s="174">
        <v>3.3000000000000002E-2</v>
      </c>
      <c r="AC39" s="17" t="s">
        <v>96</v>
      </c>
      <c r="AD39" s="175">
        <f>AB39/road_by_tot!AB39*100</f>
        <v>36.26373626373627</v>
      </c>
      <c r="AE39" s="175">
        <f t="shared" si="3"/>
        <v>26.923076923076934</v>
      </c>
    </row>
    <row r="40" spans="1:31" ht="12.75" customHeight="1" x14ac:dyDescent="0.2">
      <c r="A40" s="15"/>
      <c r="B40" s="193" t="s">
        <v>2</v>
      </c>
      <c r="C40" s="205"/>
      <c r="D40" s="195"/>
      <c r="E40" s="195"/>
      <c r="F40" s="195"/>
      <c r="G40" s="195"/>
      <c r="H40" s="195"/>
      <c r="I40" s="195"/>
      <c r="J40" s="195"/>
      <c r="K40" s="195"/>
      <c r="L40" s="195"/>
      <c r="M40" s="195"/>
      <c r="N40" s="195"/>
      <c r="O40" s="195"/>
      <c r="P40" s="195"/>
      <c r="Q40" s="195"/>
      <c r="R40" s="195"/>
      <c r="S40" s="195"/>
      <c r="T40" s="195"/>
      <c r="U40" s="195"/>
      <c r="V40" s="195">
        <v>9.4149999999999991</v>
      </c>
      <c r="W40" s="195">
        <v>9.1159999999999997</v>
      </c>
      <c r="X40" s="195">
        <v>9.4149999999999991</v>
      </c>
      <c r="Y40" s="195">
        <v>9.4969999999999999</v>
      </c>
      <c r="Z40" s="195">
        <v>9.2029999999999994</v>
      </c>
      <c r="AA40" s="195">
        <f>8758/1000</f>
        <v>8.7579999999999991</v>
      </c>
      <c r="AB40" s="206">
        <f>9.145</f>
        <v>9.1449999999999996</v>
      </c>
      <c r="AC40" s="193" t="s">
        <v>2</v>
      </c>
      <c r="AD40" s="422">
        <f>AB40/road_by_tot!AB40*100</f>
        <v>85.916948515595635</v>
      </c>
      <c r="AE40" s="422">
        <f t="shared" si="3"/>
        <v>4.418817081525475</v>
      </c>
    </row>
    <row r="41" spans="1:31" ht="12.75" customHeight="1" x14ac:dyDescent="0.2">
      <c r="A41" s="15"/>
      <c r="B41" s="17" t="s">
        <v>100</v>
      </c>
      <c r="C41" s="114"/>
      <c r="D41" s="57"/>
      <c r="E41" s="57"/>
      <c r="F41" s="57"/>
      <c r="G41" s="57"/>
      <c r="H41" s="57"/>
      <c r="I41" s="57"/>
      <c r="J41" s="57"/>
      <c r="K41" s="57"/>
      <c r="L41" s="57"/>
      <c r="M41" s="57"/>
      <c r="N41" s="57"/>
      <c r="O41" s="57"/>
      <c r="P41" s="57"/>
      <c r="Q41" s="57"/>
      <c r="R41" s="57"/>
      <c r="S41" s="154"/>
      <c r="T41" s="154"/>
      <c r="U41" s="141"/>
      <c r="V41" s="141"/>
      <c r="W41" s="141"/>
      <c r="X41" s="141"/>
      <c r="Y41" s="141"/>
      <c r="Z41" s="141"/>
      <c r="AA41" s="141"/>
      <c r="AB41" s="106"/>
      <c r="AC41" s="170" t="s">
        <v>100</v>
      </c>
      <c r="AD41" s="170"/>
      <c r="AE41" s="170"/>
    </row>
    <row r="42" spans="1:31" ht="12.75" customHeight="1" x14ac:dyDescent="0.2">
      <c r="A42" s="15"/>
      <c r="B42" s="193" t="s">
        <v>97</v>
      </c>
      <c r="C42" s="20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206"/>
      <c r="AC42" s="193" t="s">
        <v>97</v>
      </c>
      <c r="AD42" s="422"/>
      <c r="AE42" s="422"/>
    </row>
    <row r="43" spans="1:31" ht="12.75" customHeight="1" x14ac:dyDescent="0.2">
      <c r="A43" s="15"/>
      <c r="B43" s="18" t="s">
        <v>17</v>
      </c>
      <c r="C43" s="115"/>
      <c r="D43" s="58"/>
      <c r="E43" s="58"/>
      <c r="F43" s="58"/>
      <c r="G43" s="58"/>
      <c r="H43" s="58"/>
      <c r="I43" s="58"/>
      <c r="J43" s="58"/>
      <c r="K43" s="58"/>
      <c r="L43" s="58"/>
      <c r="M43" s="58"/>
      <c r="N43" s="58"/>
      <c r="O43" s="58"/>
      <c r="P43" s="58"/>
      <c r="Q43" s="58"/>
      <c r="R43" s="58"/>
      <c r="S43" s="58"/>
      <c r="T43" s="58"/>
      <c r="U43" s="58"/>
      <c r="V43" s="58"/>
      <c r="W43" s="58"/>
      <c r="X43" s="58"/>
      <c r="Y43" s="58"/>
      <c r="Z43" s="58"/>
      <c r="AA43" s="58"/>
      <c r="AB43" s="166"/>
      <c r="AC43" s="18" t="s">
        <v>17</v>
      </c>
      <c r="AD43" s="348"/>
      <c r="AE43" s="348"/>
    </row>
    <row r="44" spans="1:31" ht="12.75" customHeight="1" x14ac:dyDescent="0.2">
      <c r="A44" s="15"/>
      <c r="B44" s="279" t="s">
        <v>21</v>
      </c>
      <c r="C44" s="335">
        <v>14.786000000000001</v>
      </c>
      <c r="D44" s="336">
        <v>16.004999999999999</v>
      </c>
      <c r="E44" s="336">
        <v>16.697999999999979</v>
      </c>
      <c r="F44" s="336">
        <v>16.568999999999988</v>
      </c>
      <c r="G44" s="336">
        <v>17.241</v>
      </c>
      <c r="H44" s="336">
        <v>15.284000000000001</v>
      </c>
      <c r="I44" s="336">
        <v>13.504</v>
      </c>
      <c r="J44" s="336">
        <v>13.115</v>
      </c>
      <c r="K44" s="336">
        <v>13.21</v>
      </c>
      <c r="L44" s="336">
        <v>11.475</v>
      </c>
      <c r="M44" s="336">
        <v>10.067</v>
      </c>
      <c r="N44" s="336">
        <v>10.709</v>
      </c>
      <c r="O44" s="336">
        <v>10.282999999999999</v>
      </c>
      <c r="P44" s="336">
        <v>9.1509999999999998</v>
      </c>
      <c r="Q44" s="336">
        <v>7.9210000000000003</v>
      </c>
      <c r="R44" s="336">
        <v>8.9320000000000004</v>
      </c>
      <c r="S44" s="337">
        <v>8.8160000000000007</v>
      </c>
      <c r="T44" s="337">
        <v>8.3970000000000002</v>
      </c>
      <c r="U44" s="337">
        <v>8.3689999999999998</v>
      </c>
      <c r="V44" s="337">
        <v>7.7210000000000001</v>
      </c>
      <c r="W44" s="337">
        <v>7.2329999999999997</v>
      </c>
      <c r="X44" s="337">
        <v>6.3209999999999997</v>
      </c>
      <c r="Y44" s="337">
        <v>6.59</v>
      </c>
      <c r="Z44" s="337">
        <v>7.1639999999999997</v>
      </c>
      <c r="AA44" s="337">
        <v>6.4119999999999999</v>
      </c>
      <c r="AB44" s="380"/>
      <c r="AC44" s="283" t="s">
        <v>21</v>
      </c>
      <c r="AD44" s="283"/>
      <c r="AE44" s="283"/>
    </row>
    <row r="45" spans="1:31" ht="12.75" customHeight="1" x14ac:dyDescent="0.2">
      <c r="A45" s="15"/>
      <c r="B45" s="578" t="s">
        <v>147</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131"/>
      <c r="AE45" s="387"/>
    </row>
    <row r="46" spans="1:31" ht="15" customHeight="1" x14ac:dyDescent="0.2">
      <c r="B46" s="129" t="s">
        <v>138</v>
      </c>
    </row>
    <row r="47" spans="1:31" x14ac:dyDescent="0.2">
      <c r="B47" s="3" t="s">
        <v>71</v>
      </c>
    </row>
    <row r="48" spans="1:31" x14ac:dyDescent="0.2">
      <c r="B48" s="92" t="s">
        <v>72</v>
      </c>
    </row>
    <row r="49" spans="2:31" x14ac:dyDescent="0.2">
      <c r="B49" s="574" t="s">
        <v>91</v>
      </c>
      <c r="C49" s="574"/>
      <c r="D49" s="574"/>
      <c r="E49" s="574"/>
      <c r="F49" s="574"/>
      <c r="G49" s="574"/>
      <c r="H49" s="574"/>
      <c r="I49" s="574"/>
      <c r="J49" s="574"/>
      <c r="K49" s="574"/>
      <c r="L49" s="574"/>
      <c r="M49" s="574"/>
      <c r="N49" s="574"/>
      <c r="O49" s="574"/>
      <c r="P49" s="574"/>
      <c r="Q49" s="574"/>
      <c r="R49" s="138"/>
      <c r="S49" s="138"/>
      <c r="T49" s="138"/>
      <c r="U49" s="138"/>
      <c r="V49" s="138"/>
      <c r="W49" s="138"/>
      <c r="X49" s="138"/>
      <c r="Y49" s="138"/>
      <c r="Z49" s="138"/>
      <c r="AA49" s="432"/>
      <c r="AB49" s="454"/>
      <c r="AC49" s="133"/>
      <c r="AE49" s="388"/>
    </row>
    <row r="57" spans="2:31" x14ac:dyDescent="0.2">
      <c r="U57" s="1"/>
    </row>
  </sheetData>
  <mergeCells count="6">
    <mergeCell ref="B49:Q49"/>
    <mergeCell ref="AD2:AD5"/>
    <mergeCell ref="B2:Q2"/>
    <mergeCell ref="B3:Q3"/>
    <mergeCell ref="B45:AC45"/>
    <mergeCell ref="Z4:AB4"/>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AD51"/>
  <sheetViews>
    <sheetView topLeftCell="A13" zoomScaleNormal="100" workbookViewId="0">
      <selection activeCell="A50" sqref="A50"/>
    </sheetView>
  </sheetViews>
  <sheetFormatPr defaultRowHeight="12.75" x14ac:dyDescent="0.2"/>
  <cols>
    <col min="1" max="1" width="3.7109375" customWidth="1"/>
    <col min="2" max="2" width="4.5703125" customWidth="1"/>
    <col min="3" max="13" width="7.7109375" customWidth="1"/>
    <col min="14" max="26" width="8.28515625" customWidth="1"/>
    <col min="27" max="27" width="7" customWidth="1"/>
    <col min="28" max="28" width="6.42578125" customWidth="1"/>
    <col min="29" max="29" width="8.28515625" style="171" customWidth="1"/>
    <col min="30" max="30" width="6.28515625" customWidth="1"/>
  </cols>
  <sheetData>
    <row r="1" spans="1:30" ht="14.25" customHeight="1" x14ac:dyDescent="0.2">
      <c r="B1" s="40"/>
      <c r="C1" s="38"/>
      <c r="D1" s="38"/>
      <c r="E1" s="38"/>
      <c r="F1" s="38"/>
      <c r="G1" s="38"/>
      <c r="H1" s="38"/>
      <c r="I1" s="38"/>
      <c r="J1" s="41"/>
      <c r="AC1" s="342" t="s">
        <v>80</v>
      </c>
    </row>
    <row r="2" spans="1:30" s="80" customFormat="1" ht="15" customHeight="1" x14ac:dyDescent="0.2">
      <c r="B2" s="546" t="s">
        <v>131</v>
      </c>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row>
    <row r="3" spans="1:30" ht="15" customHeight="1" x14ac:dyDescent="0.2">
      <c r="B3" s="566" t="s">
        <v>128</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row>
    <row r="4" spans="1:30" ht="12" customHeight="1" x14ac:dyDescent="0.2">
      <c r="B4" s="4"/>
      <c r="C4" s="24"/>
      <c r="D4" s="24"/>
      <c r="E4" s="24"/>
      <c r="F4" s="24"/>
      <c r="G4" s="24"/>
      <c r="H4" s="24"/>
      <c r="J4" s="22"/>
      <c r="K4" s="22"/>
      <c r="L4" s="22"/>
      <c r="R4" s="21"/>
      <c r="S4" s="21"/>
      <c r="T4" s="21"/>
      <c r="U4" s="21"/>
      <c r="V4" s="21"/>
      <c r="W4" s="21"/>
      <c r="X4" s="178"/>
      <c r="Y4" s="178"/>
      <c r="Z4" s="581" t="s">
        <v>95</v>
      </c>
      <c r="AA4" s="581"/>
      <c r="AB4" s="581"/>
      <c r="AC4" s="161"/>
      <c r="AD4" s="6"/>
    </row>
    <row r="5" spans="1:30" ht="20.100000000000001" customHeight="1" x14ac:dyDescent="0.2">
      <c r="B5" s="4"/>
      <c r="C5" s="84">
        <v>1995</v>
      </c>
      <c r="D5" s="85">
        <v>1996</v>
      </c>
      <c r="E5" s="85">
        <v>1997</v>
      </c>
      <c r="F5" s="85">
        <v>1998</v>
      </c>
      <c r="G5" s="85">
        <v>1999</v>
      </c>
      <c r="H5" s="85">
        <v>2000</v>
      </c>
      <c r="I5" s="85">
        <v>2001</v>
      </c>
      <c r="J5" s="85">
        <v>2002</v>
      </c>
      <c r="K5" s="85">
        <v>2003</v>
      </c>
      <c r="L5" s="85">
        <v>2004</v>
      </c>
      <c r="M5" s="85">
        <v>2005</v>
      </c>
      <c r="N5" s="85">
        <v>2006</v>
      </c>
      <c r="O5" s="85">
        <v>2007</v>
      </c>
      <c r="P5" s="85">
        <v>2008</v>
      </c>
      <c r="Q5" s="85">
        <v>2009</v>
      </c>
      <c r="R5" s="85">
        <v>2010</v>
      </c>
      <c r="S5" s="85">
        <v>2011</v>
      </c>
      <c r="T5" s="85">
        <v>2012</v>
      </c>
      <c r="U5" s="85">
        <v>2013</v>
      </c>
      <c r="V5" s="85">
        <v>2014</v>
      </c>
      <c r="W5" s="85">
        <v>2015</v>
      </c>
      <c r="X5" s="85">
        <v>2016</v>
      </c>
      <c r="Y5" s="85">
        <v>2017</v>
      </c>
      <c r="Z5" s="85">
        <v>2018</v>
      </c>
      <c r="AA5" s="85">
        <v>2019</v>
      </c>
      <c r="AB5" s="85">
        <v>2020</v>
      </c>
      <c r="AC5" s="343" t="s">
        <v>146</v>
      </c>
      <c r="AD5" s="62"/>
    </row>
    <row r="6" spans="1:30" ht="9.9499999999999993" customHeight="1" x14ac:dyDescent="0.2">
      <c r="B6" s="4"/>
      <c r="C6" s="86"/>
      <c r="D6" s="83"/>
      <c r="E6" s="83"/>
      <c r="F6" s="83"/>
      <c r="G6" s="83"/>
      <c r="H6" s="83"/>
      <c r="I6" s="83"/>
      <c r="J6" s="83"/>
      <c r="K6" s="83"/>
      <c r="L6" s="83"/>
      <c r="M6" s="83"/>
      <c r="N6" s="83"/>
      <c r="O6" s="83"/>
      <c r="P6" s="83"/>
      <c r="Q6" s="83"/>
      <c r="R6" s="83"/>
      <c r="S6" s="83"/>
      <c r="T6" s="83"/>
      <c r="U6" s="83"/>
      <c r="V6" s="83"/>
      <c r="W6" s="83"/>
      <c r="X6" s="83"/>
      <c r="Y6" s="83"/>
      <c r="Z6" s="83"/>
      <c r="AA6" s="83"/>
      <c r="AB6" s="140"/>
      <c r="AC6" s="344" t="s">
        <v>63</v>
      </c>
      <c r="AD6" s="64"/>
    </row>
    <row r="7" spans="1:30" ht="12.75" customHeight="1" x14ac:dyDescent="0.2">
      <c r="B7" s="392" t="s">
        <v>112</v>
      </c>
      <c r="C7" s="281">
        <f>SUM(C9:C35)</f>
        <v>1127.1600000000001</v>
      </c>
      <c r="D7" s="281">
        <f t="shared" ref="D7:AB7" si="0">SUM(D9:D35)</f>
        <v>1136.3789999999997</v>
      </c>
      <c r="E7" s="281">
        <f t="shared" si="0"/>
        <v>1182.4780000000001</v>
      </c>
      <c r="F7" s="281">
        <f t="shared" si="0"/>
        <v>1242.2039999999997</v>
      </c>
      <c r="G7" s="281">
        <f t="shared" si="0"/>
        <v>1294.3619999999999</v>
      </c>
      <c r="H7" s="281">
        <f t="shared" si="0"/>
        <v>1343.867</v>
      </c>
      <c r="I7" s="281">
        <f t="shared" si="0"/>
        <v>1389.2530000000002</v>
      </c>
      <c r="J7" s="281">
        <f t="shared" si="0"/>
        <v>1438.8</v>
      </c>
      <c r="K7" s="281">
        <f t="shared" si="0"/>
        <v>1440.54</v>
      </c>
      <c r="L7" s="281">
        <f t="shared" si="0"/>
        <v>1588.2660000000001</v>
      </c>
      <c r="M7" s="281">
        <f t="shared" si="0"/>
        <v>1633.3100000000002</v>
      </c>
      <c r="N7" s="281">
        <f t="shared" si="0"/>
        <v>1692.2679999999998</v>
      </c>
      <c r="O7" s="281">
        <f t="shared" si="0"/>
        <v>1753.9669999999996</v>
      </c>
      <c r="P7" s="281">
        <f t="shared" si="0"/>
        <v>1730.8300000000002</v>
      </c>
      <c r="Q7" s="281">
        <f t="shared" si="0"/>
        <v>1560.2210000000002</v>
      </c>
      <c r="R7" s="281">
        <f t="shared" si="0"/>
        <v>1609.6789999999999</v>
      </c>
      <c r="S7" s="281">
        <f t="shared" si="0"/>
        <v>1592.1670000000001</v>
      </c>
      <c r="T7" s="281">
        <f t="shared" si="0"/>
        <v>1536.4010000000001</v>
      </c>
      <c r="U7" s="281">
        <f t="shared" si="0"/>
        <v>1571.77</v>
      </c>
      <c r="V7" s="281">
        <f t="shared" si="0"/>
        <v>1584.7149999999999</v>
      </c>
      <c r="W7" s="281">
        <f t="shared" si="0"/>
        <v>1615.1200000000001</v>
      </c>
      <c r="X7" s="281">
        <f t="shared" si="0"/>
        <v>1675.3409999999999</v>
      </c>
      <c r="Y7" s="281">
        <f t="shared" si="0"/>
        <v>1765.6039999999998</v>
      </c>
      <c r="Z7" s="281">
        <f t="shared" si="0"/>
        <v>1763.8989999999999</v>
      </c>
      <c r="AA7" s="281">
        <f t="shared" si="0"/>
        <v>1819.5369999999996</v>
      </c>
      <c r="AB7" s="281">
        <f t="shared" si="0"/>
        <v>1803.44</v>
      </c>
      <c r="AC7" s="283">
        <f>AB7/AA7*100-100</f>
        <v>-0.88467560703627157</v>
      </c>
      <c r="AD7" s="279" t="s">
        <v>112</v>
      </c>
    </row>
    <row r="8" spans="1:30" ht="12.75" customHeight="1" x14ac:dyDescent="0.2">
      <c r="A8" s="15"/>
      <c r="B8" s="364" t="s">
        <v>99</v>
      </c>
      <c r="C8" s="281">
        <f t="shared" ref="C8:AA8" si="1">C7+C44</f>
        <v>1288.6600000000001</v>
      </c>
      <c r="D8" s="281">
        <f t="shared" si="1"/>
        <v>1302.5789999999997</v>
      </c>
      <c r="E8" s="281">
        <f t="shared" si="1"/>
        <v>1351.6780000000001</v>
      </c>
      <c r="F8" s="281">
        <f t="shared" si="1"/>
        <v>1414.2039999999997</v>
      </c>
      <c r="G8" s="281">
        <f t="shared" si="1"/>
        <v>1460.6219999999998</v>
      </c>
      <c r="H8" s="281">
        <f t="shared" si="1"/>
        <v>1509.4880000000001</v>
      </c>
      <c r="I8" s="281">
        <f t="shared" si="1"/>
        <v>1552.5170000000003</v>
      </c>
      <c r="J8" s="281">
        <f t="shared" si="1"/>
        <v>1602.835</v>
      </c>
      <c r="K8" s="281">
        <f t="shared" si="1"/>
        <v>1607.683</v>
      </c>
      <c r="L8" s="281">
        <f t="shared" si="1"/>
        <v>1750.92</v>
      </c>
      <c r="M8" s="281">
        <f t="shared" si="1"/>
        <v>1794.5950000000003</v>
      </c>
      <c r="N8" s="281">
        <f t="shared" si="1"/>
        <v>1857.7469999999998</v>
      </c>
      <c r="O8" s="281">
        <f t="shared" si="1"/>
        <v>1924.9579999999996</v>
      </c>
      <c r="P8" s="281">
        <f t="shared" si="1"/>
        <v>1891.1260000000002</v>
      </c>
      <c r="Q8" s="281">
        <f t="shared" si="1"/>
        <v>1699.7570000000003</v>
      </c>
      <c r="R8" s="281">
        <f t="shared" si="1"/>
        <v>1756.3639999999998</v>
      </c>
      <c r="S8" s="281">
        <f t="shared" si="1"/>
        <v>1740.9</v>
      </c>
      <c r="T8" s="281">
        <f t="shared" si="1"/>
        <v>1687.3500000000001</v>
      </c>
      <c r="U8" s="281">
        <f t="shared" si="1"/>
        <v>1711.473</v>
      </c>
      <c r="V8" s="281">
        <f t="shared" si="1"/>
        <v>1720.1079999999999</v>
      </c>
      <c r="W8" s="281">
        <f t="shared" si="1"/>
        <v>1765.221</v>
      </c>
      <c r="X8" s="281">
        <f t="shared" si="1"/>
        <v>1830.3829999999998</v>
      </c>
      <c r="Y8" s="281">
        <f t="shared" si="1"/>
        <v>1919.5429999999999</v>
      </c>
      <c r="Z8" s="281">
        <f t="shared" si="1"/>
        <v>1923.1809999999998</v>
      </c>
      <c r="AA8" s="281">
        <f t="shared" si="1"/>
        <v>1980.3679999999995</v>
      </c>
      <c r="AB8" s="420"/>
      <c r="AC8" s="283"/>
      <c r="AD8" s="279" t="s">
        <v>99</v>
      </c>
    </row>
    <row r="9" spans="1:30" ht="12.75" customHeight="1" x14ac:dyDescent="0.2">
      <c r="A9" s="15"/>
      <c r="B9" s="17" t="s">
        <v>22</v>
      </c>
      <c r="C9" s="147">
        <v>45.6</v>
      </c>
      <c r="D9" s="148">
        <v>41.8</v>
      </c>
      <c r="E9" s="148">
        <v>43.7</v>
      </c>
      <c r="F9" s="148">
        <v>41.1</v>
      </c>
      <c r="G9" s="57">
        <v>37.283999999999999</v>
      </c>
      <c r="H9" s="148">
        <v>51.046999999999997</v>
      </c>
      <c r="I9" s="148">
        <v>53.182000000000002</v>
      </c>
      <c r="J9" s="148">
        <v>52.889000000000003</v>
      </c>
      <c r="K9" s="148">
        <v>50.542000000000002</v>
      </c>
      <c r="L9" s="148">
        <v>47.878</v>
      </c>
      <c r="M9" s="148">
        <v>43.847000000000001</v>
      </c>
      <c r="N9" s="148">
        <v>43.017000000000003</v>
      </c>
      <c r="O9" s="148">
        <v>42.085000000000001</v>
      </c>
      <c r="P9" s="148">
        <v>38.356000000000002</v>
      </c>
      <c r="Q9" s="148">
        <v>36.173999999999999</v>
      </c>
      <c r="R9" s="148">
        <v>35.002000000000002</v>
      </c>
      <c r="S9" s="148">
        <v>33.106999999999999</v>
      </c>
      <c r="T9" s="148">
        <v>32.104999999999997</v>
      </c>
      <c r="U9" s="148">
        <v>32.795999999999999</v>
      </c>
      <c r="V9" s="148">
        <v>31.808</v>
      </c>
      <c r="W9" s="148">
        <v>36.078000000000003</v>
      </c>
      <c r="X9" s="148">
        <v>35.192</v>
      </c>
      <c r="Y9" s="148">
        <v>34.22</v>
      </c>
      <c r="Z9" s="148">
        <v>32.683999999999997</v>
      </c>
      <c r="AA9" s="148">
        <v>34.829000000000001</v>
      </c>
      <c r="AB9" s="184">
        <v>34.378999999999998</v>
      </c>
      <c r="AC9" s="175">
        <f t="shared" ref="AC9:AC38" si="2">AB9/AA9*100-100</f>
        <v>-1.2920267593097776</v>
      </c>
      <c r="AD9" s="17" t="s">
        <v>22</v>
      </c>
    </row>
    <row r="10" spans="1:30" ht="12.75" customHeight="1" x14ac:dyDescent="0.2">
      <c r="A10" s="15"/>
      <c r="B10" s="88" t="s">
        <v>5</v>
      </c>
      <c r="C10" s="150">
        <v>5.2</v>
      </c>
      <c r="D10" s="151">
        <v>5.4</v>
      </c>
      <c r="E10" s="151">
        <v>5.6</v>
      </c>
      <c r="F10" s="151">
        <v>5.8</v>
      </c>
      <c r="G10" s="151">
        <v>6</v>
      </c>
      <c r="H10" s="151">
        <v>6.4039999999999999</v>
      </c>
      <c r="I10" s="151">
        <v>8.0470000000000006</v>
      </c>
      <c r="J10" s="151">
        <v>8.8040000000000003</v>
      </c>
      <c r="K10" s="151">
        <v>9.4969999999999999</v>
      </c>
      <c r="L10" s="151">
        <v>11.961</v>
      </c>
      <c r="M10" s="151">
        <v>14.371</v>
      </c>
      <c r="N10" s="151">
        <v>13.765000000000001</v>
      </c>
      <c r="O10" s="151">
        <v>14.624000000000001</v>
      </c>
      <c r="P10" s="151">
        <v>15.321999999999999</v>
      </c>
      <c r="Q10" s="151">
        <v>17.742000000000001</v>
      </c>
      <c r="R10" s="151">
        <v>19.433</v>
      </c>
      <c r="S10" s="151">
        <v>21.213999999999999</v>
      </c>
      <c r="T10" s="151">
        <v>24.372</v>
      </c>
      <c r="U10" s="151">
        <v>27.097000000000001</v>
      </c>
      <c r="V10" s="151">
        <v>27.853999999999999</v>
      </c>
      <c r="W10" s="151">
        <v>32.296999999999997</v>
      </c>
      <c r="X10" s="151">
        <v>35.408999999999999</v>
      </c>
      <c r="Y10" s="151">
        <v>35.15</v>
      </c>
      <c r="Z10" s="151">
        <v>26.95</v>
      </c>
      <c r="AA10" s="151">
        <v>20.550999999999998</v>
      </c>
      <c r="AB10" s="152">
        <v>32.566000000000003</v>
      </c>
      <c r="AC10" s="339">
        <f t="shared" si="2"/>
        <v>58.464308306165179</v>
      </c>
      <c r="AD10" s="88" t="s">
        <v>5</v>
      </c>
    </row>
    <row r="11" spans="1:30" ht="12.75" customHeight="1" x14ac:dyDescent="0.2">
      <c r="A11" s="15"/>
      <c r="B11" s="17" t="s">
        <v>7</v>
      </c>
      <c r="C11" s="153">
        <v>31.3</v>
      </c>
      <c r="D11" s="154">
        <v>30.1</v>
      </c>
      <c r="E11" s="154">
        <v>30.64</v>
      </c>
      <c r="F11" s="154">
        <v>33.911000000000001</v>
      </c>
      <c r="G11" s="154">
        <v>36.963999999999999</v>
      </c>
      <c r="H11" s="154">
        <v>37.31</v>
      </c>
      <c r="I11" s="154">
        <v>39.067</v>
      </c>
      <c r="J11" s="154">
        <v>43.673999999999999</v>
      </c>
      <c r="K11" s="154">
        <v>46.534999999999997</v>
      </c>
      <c r="L11" s="154">
        <v>46.011000000000003</v>
      </c>
      <c r="M11" s="154">
        <v>43.447000000000003</v>
      </c>
      <c r="N11" s="154">
        <v>50.375999999999998</v>
      </c>
      <c r="O11" s="154">
        <v>48.140999999999998</v>
      </c>
      <c r="P11" s="154">
        <v>50.877000000000002</v>
      </c>
      <c r="Q11" s="154">
        <v>44.954999999999998</v>
      </c>
      <c r="R11" s="154">
        <v>51.832000000000001</v>
      </c>
      <c r="S11" s="154">
        <v>54.83</v>
      </c>
      <c r="T11" s="154">
        <v>51.228000000000002</v>
      </c>
      <c r="U11" s="154">
        <v>54.893000000000001</v>
      </c>
      <c r="V11" s="154">
        <v>54.091999999999999</v>
      </c>
      <c r="W11" s="154">
        <v>58.715000000000003</v>
      </c>
      <c r="X11" s="154">
        <v>50.314999999999998</v>
      </c>
      <c r="Y11" s="154">
        <v>44.274000000000001</v>
      </c>
      <c r="Z11" s="154">
        <v>41.073</v>
      </c>
      <c r="AA11" s="154">
        <v>39.058999999999997</v>
      </c>
      <c r="AB11" s="174">
        <v>56.09</v>
      </c>
      <c r="AC11" s="175">
        <f t="shared" si="2"/>
        <v>43.603266852710021</v>
      </c>
      <c r="AD11" s="17" t="s">
        <v>7</v>
      </c>
    </row>
    <row r="12" spans="1:30" ht="12.75" customHeight="1" x14ac:dyDescent="0.2">
      <c r="A12" s="15"/>
      <c r="B12" s="88" t="s">
        <v>18</v>
      </c>
      <c r="C12" s="150">
        <v>22.4</v>
      </c>
      <c r="D12" s="151">
        <v>21.3</v>
      </c>
      <c r="E12" s="151">
        <v>21.5</v>
      </c>
      <c r="F12" s="151">
        <v>21.4</v>
      </c>
      <c r="G12" s="151">
        <v>23.236000000000001</v>
      </c>
      <c r="H12" s="151">
        <v>24.021000000000001</v>
      </c>
      <c r="I12" s="151">
        <v>22.155999999999999</v>
      </c>
      <c r="J12" s="151">
        <v>22.515999999999998</v>
      </c>
      <c r="K12" s="151">
        <v>23.009</v>
      </c>
      <c r="L12" s="151">
        <v>23.114000000000001</v>
      </c>
      <c r="M12" s="151">
        <v>23.298999999999999</v>
      </c>
      <c r="N12" s="151">
        <v>21.254000000000001</v>
      </c>
      <c r="O12" s="151">
        <v>20.96</v>
      </c>
      <c r="P12" s="151">
        <v>19.48</v>
      </c>
      <c r="Q12" s="151">
        <v>16.876000000000001</v>
      </c>
      <c r="R12" s="151">
        <v>15.018000000000001</v>
      </c>
      <c r="S12" s="151">
        <v>16.12</v>
      </c>
      <c r="T12" s="151">
        <v>16.678999999999998</v>
      </c>
      <c r="U12" s="151">
        <v>16.071999999999999</v>
      </c>
      <c r="V12" s="151">
        <v>16.184000000000001</v>
      </c>
      <c r="W12" s="151">
        <v>15.5</v>
      </c>
      <c r="X12" s="151">
        <v>16.094000000000001</v>
      </c>
      <c r="Y12" s="151">
        <v>15.502000000000001</v>
      </c>
      <c r="Z12" s="151">
        <v>14.997999999999999</v>
      </c>
      <c r="AA12" s="151">
        <v>14.991</v>
      </c>
      <c r="AB12" s="152">
        <v>14.686</v>
      </c>
      <c r="AC12" s="339">
        <f t="shared" si="2"/>
        <v>-2.0345540657727952</v>
      </c>
      <c r="AD12" s="88" t="s">
        <v>18</v>
      </c>
    </row>
    <row r="13" spans="1:30" ht="12.75" customHeight="1" x14ac:dyDescent="0.2">
      <c r="A13" s="15"/>
      <c r="B13" s="17" t="s">
        <v>23</v>
      </c>
      <c r="C13" s="153">
        <v>237.8</v>
      </c>
      <c r="D13" s="154">
        <v>236.6</v>
      </c>
      <c r="E13" s="154">
        <v>245.9</v>
      </c>
      <c r="F13" s="154">
        <v>257.39999999999998</v>
      </c>
      <c r="G13" s="154">
        <v>278.42700000000002</v>
      </c>
      <c r="H13" s="154">
        <v>280.70800000000003</v>
      </c>
      <c r="I13" s="154">
        <v>288.964</v>
      </c>
      <c r="J13" s="154">
        <v>285.214</v>
      </c>
      <c r="K13" s="154">
        <v>290.745</v>
      </c>
      <c r="L13" s="154">
        <v>303.75200000000001</v>
      </c>
      <c r="M13" s="154">
        <v>310.10300000000001</v>
      </c>
      <c r="N13" s="154">
        <v>330.01600000000002</v>
      </c>
      <c r="O13" s="154">
        <v>343.447</v>
      </c>
      <c r="P13" s="154">
        <v>341.53199999999998</v>
      </c>
      <c r="Q13" s="154">
        <v>307.54700000000003</v>
      </c>
      <c r="R13" s="154">
        <v>313.10399999999998</v>
      </c>
      <c r="S13" s="154">
        <v>323.83300000000003</v>
      </c>
      <c r="T13" s="154">
        <v>307.00900000000001</v>
      </c>
      <c r="U13" s="154">
        <v>305.74400000000003</v>
      </c>
      <c r="V13" s="154">
        <v>310.142</v>
      </c>
      <c r="W13" s="154">
        <v>314.81599999999997</v>
      </c>
      <c r="X13" s="154">
        <v>315.774</v>
      </c>
      <c r="Y13" s="154">
        <v>313.149</v>
      </c>
      <c r="Z13" s="154">
        <v>316.77199999999999</v>
      </c>
      <c r="AA13" s="154">
        <v>311.875</v>
      </c>
      <c r="AB13" s="174">
        <v>304.613</v>
      </c>
      <c r="AC13" s="175">
        <f t="shared" si="2"/>
        <v>-2.3284969939879687</v>
      </c>
      <c r="AD13" s="17" t="s">
        <v>23</v>
      </c>
    </row>
    <row r="14" spans="1:30" ht="12.75" customHeight="1" x14ac:dyDescent="0.2">
      <c r="A14" s="15"/>
      <c r="B14" s="88" t="s">
        <v>8</v>
      </c>
      <c r="C14" s="155">
        <v>1.5489999999999999</v>
      </c>
      <c r="D14" s="156">
        <v>1.897</v>
      </c>
      <c r="E14" s="156">
        <v>2.7730000000000001</v>
      </c>
      <c r="F14" s="156">
        <v>3.7909999999999999</v>
      </c>
      <c r="G14" s="156">
        <v>3.9750000000000001</v>
      </c>
      <c r="H14" s="156">
        <v>3.9319999999999999</v>
      </c>
      <c r="I14" s="151">
        <v>4.6769999999999996</v>
      </c>
      <c r="J14" s="157">
        <v>4.3869999999999996</v>
      </c>
      <c r="K14" s="151">
        <v>3.9740000000000002</v>
      </c>
      <c r="L14" s="156">
        <v>5.0990000000000002</v>
      </c>
      <c r="M14" s="156">
        <v>5.8239999999999998</v>
      </c>
      <c r="N14" s="156">
        <v>5.548</v>
      </c>
      <c r="O14" s="156">
        <v>6.4169999999999998</v>
      </c>
      <c r="P14" s="156">
        <v>7.3540000000000001</v>
      </c>
      <c r="Q14" s="156">
        <v>5.34</v>
      </c>
      <c r="R14" s="156">
        <v>5.6139999999999999</v>
      </c>
      <c r="S14" s="156">
        <v>5.9119999999999999</v>
      </c>
      <c r="T14" s="156">
        <v>5.7910000000000004</v>
      </c>
      <c r="U14" s="156">
        <v>5.9859999999999998</v>
      </c>
      <c r="V14" s="156">
        <v>6.31</v>
      </c>
      <c r="W14" s="156">
        <v>6.2629999999999999</v>
      </c>
      <c r="X14" s="156">
        <v>6.7160000000000002</v>
      </c>
      <c r="Y14" s="156">
        <v>6.1890000000000001</v>
      </c>
      <c r="Z14" s="156">
        <v>5.7750000000000004</v>
      </c>
      <c r="AA14" s="156">
        <v>4.7939999999999996</v>
      </c>
      <c r="AB14" s="183">
        <v>4.2789999999999999</v>
      </c>
      <c r="AC14" s="339">
        <f t="shared" si="2"/>
        <v>-10.742594910304533</v>
      </c>
      <c r="AD14" s="88" t="s">
        <v>8</v>
      </c>
    </row>
    <row r="15" spans="1:30" ht="12.75" customHeight="1" x14ac:dyDescent="0.2">
      <c r="A15" s="15"/>
      <c r="B15" s="17" t="s">
        <v>26</v>
      </c>
      <c r="C15" s="147">
        <v>5.5</v>
      </c>
      <c r="D15" s="148">
        <v>6.3</v>
      </c>
      <c r="E15" s="148">
        <v>7</v>
      </c>
      <c r="F15" s="148">
        <v>8.1999999999999993</v>
      </c>
      <c r="G15" s="148">
        <v>10.206</v>
      </c>
      <c r="H15" s="148">
        <v>12.275</v>
      </c>
      <c r="I15" s="148">
        <v>12.324999999999999</v>
      </c>
      <c r="J15" s="148">
        <v>14.275</v>
      </c>
      <c r="K15" s="148">
        <v>15.65</v>
      </c>
      <c r="L15" s="148">
        <v>17.143999999999998</v>
      </c>
      <c r="M15" s="148">
        <v>17.91</v>
      </c>
      <c r="N15" s="148">
        <v>17.454000000000001</v>
      </c>
      <c r="O15" s="148">
        <v>19.02</v>
      </c>
      <c r="P15" s="148">
        <v>17.402000000000001</v>
      </c>
      <c r="Q15" s="148">
        <v>11.686999999999999</v>
      </c>
      <c r="R15" s="148">
        <v>10.939</v>
      </c>
      <c r="S15" s="148">
        <v>10.108000000000001</v>
      </c>
      <c r="T15" s="148">
        <v>9.9760000000000009</v>
      </c>
      <c r="U15" s="148">
        <v>9.2149999999999999</v>
      </c>
      <c r="V15" s="148">
        <v>9.7509999999999994</v>
      </c>
      <c r="W15" s="148">
        <v>9.9</v>
      </c>
      <c r="X15" s="148">
        <v>11.616</v>
      </c>
      <c r="Y15" s="148">
        <v>11.836</v>
      </c>
      <c r="Z15" s="148">
        <v>11.6</v>
      </c>
      <c r="AA15" s="148">
        <v>12.444000000000001</v>
      </c>
      <c r="AB15" s="184">
        <v>11.423999999999999</v>
      </c>
      <c r="AC15" s="175">
        <f t="shared" si="2"/>
        <v>-8.1967213114754145</v>
      </c>
      <c r="AD15" s="17" t="s">
        <v>26</v>
      </c>
    </row>
    <row r="16" spans="1:30" ht="12.75" customHeight="1" x14ac:dyDescent="0.2">
      <c r="A16" s="15"/>
      <c r="B16" s="88" t="s">
        <v>19</v>
      </c>
      <c r="C16" s="158">
        <v>24</v>
      </c>
      <c r="D16" s="159">
        <v>25.05</v>
      </c>
      <c r="E16" s="159">
        <v>26.12</v>
      </c>
      <c r="F16" s="159">
        <v>27.2</v>
      </c>
      <c r="G16" s="159">
        <v>28.1</v>
      </c>
      <c r="H16" s="159">
        <v>29</v>
      </c>
      <c r="I16" s="159">
        <v>30</v>
      </c>
      <c r="J16" s="159">
        <v>31</v>
      </c>
      <c r="K16" s="199">
        <v>19.34</v>
      </c>
      <c r="L16" s="156">
        <v>36.773000000000003</v>
      </c>
      <c r="M16" s="156">
        <v>23.760999999999999</v>
      </c>
      <c r="N16" s="156">
        <v>34.002000000000002</v>
      </c>
      <c r="O16" s="151">
        <v>27.791</v>
      </c>
      <c r="P16" s="151">
        <v>28.85</v>
      </c>
      <c r="Q16" s="151">
        <v>28.585000000000001</v>
      </c>
      <c r="R16" s="151">
        <v>29.815000000000001</v>
      </c>
      <c r="S16" s="151">
        <v>20.597000000000001</v>
      </c>
      <c r="T16" s="151">
        <v>20.838999999999999</v>
      </c>
      <c r="U16" s="151">
        <v>16.582999999999998</v>
      </c>
      <c r="V16" s="151">
        <v>19.222999999999999</v>
      </c>
      <c r="W16" s="151">
        <v>19.763999999999999</v>
      </c>
      <c r="X16" s="199">
        <v>20.873999999999999</v>
      </c>
      <c r="Y16" s="151">
        <v>28.376999999999999</v>
      </c>
      <c r="Z16" s="151">
        <v>29.279</v>
      </c>
      <c r="AA16" s="151">
        <v>28.196999999999999</v>
      </c>
      <c r="AB16" s="152">
        <v>25.161000000000001</v>
      </c>
      <c r="AC16" s="339">
        <f t="shared" si="2"/>
        <v>-10.767102883285446</v>
      </c>
      <c r="AD16" s="88" t="s">
        <v>19</v>
      </c>
    </row>
    <row r="17" spans="1:30" ht="12.75" customHeight="1" x14ac:dyDescent="0.2">
      <c r="A17" s="15"/>
      <c r="B17" s="17" t="s">
        <v>24</v>
      </c>
      <c r="C17" s="160">
        <v>101.6</v>
      </c>
      <c r="D17" s="161">
        <v>102</v>
      </c>
      <c r="E17" s="161">
        <v>109.5</v>
      </c>
      <c r="F17" s="161">
        <v>125</v>
      </c>
      <c r="G17" s="161">
        <v>134.262</v>
      </c>
      <c r="H17" s="161">
        <v>148.71700000000001</v>
      </c>
      <c r="I17" s="161">
        <v>161.04499999999999</v>
      </c>
      <c r="J17" s="161">
        <v>184.54900000000001</v>
      </c>
      <c r="K17" s="161">
        <v>192.596</v>
      </c>
      <c r="L17" s="161">
        <v>220.822</v>
      </c>
      <c r="M17" s="161">
        <v>233.23</v>
      </c>
      <c r="N17" s="161">
        <v>241.78800000000001</v>
      </c>
      <c r="O17" s="161">
        <v>258.875</v>
      </c>
      <c r="P17" s="161">
        <v>242.983</v>
      </c>
      <c r="Q17" s="161">
        <v>211.89500000000001</v>
      </c>
      <c r="R17" s="161">
        <v>210.06800000000001</v>
      </c>
      <c r="S17" s="161">
        <v>206.84299999999999</v>
      </c>
      <c r="T17" s="161">
        <v>199.209</v>
      </c>
      <c r="U17" s="161">
        <v>192.59700000000001</v>
      </c>
      <c r="V17" s="161">
        <v>195.767</v>
      </c>
      <c r="W17" s="161">
        <v>209.39</v>
      </c>
      <c r="X17" s="161">
        <v>216.99700000000001</v>
      </c>
      <c r="Y17" s="161">
        <v>231.10900000000001</v>
      </c>
      <c r="Z17" s="161">
        <v>238.994</v>
      </c>
      <c r="AA17" s="161">
        <v>249.559</v>
      </c>
      <c r="AB17" s="162">
        <v>242.268</v>
      </c>
      <c r="AC17" s="175">
        <f t="shared" si="2"/>
        <v>-2.921553620586721</v>
      </c>
      <c r="AD17" s="17" t="s">
        <v>24</v>
      </c>
    </row>
    <row r="18" spans="1:30" ht="12.75" customHeight="1" x14ac:dyDescent="0.2">
      <c r="A18" s="15"/>
      <c r="B18" s="88" t="s">
        <v>25</v>
      </c>
      <c r="C18" s="155">
        <v>178.2</v>
      </c>
      <c r="D18" s="156">
        <v>180</v>
      </c>
      <c r="E18" s="156">
        <v>181.4</v>
      </c>
      <c r="F18" s="156">
        <v>189.1</v>
      </c>
      <c r="G18" s="156">
        <v>204.71299999999999</v>
      </c>
      <c r="H18" s="156">
        <v>203.999</v>
      </c>
      <c r="I18" s="156">
        <v>206.87</v>
      </c>
      <c r="J18" s="156">
        <v>204.35900000000001</v>
      </c>
      <c r="K18" s="156">
        <v>203.608</v>
      </c>
      <c r="L18" s="156">
        <v>212.20099999999999</v>
      </c>
      <c r="M18" s="156">
        <v>205.28399999999999</v>
      </c>
      <c r="N18" s="156">
        <v>211.44499999999999</v>
      </c>
      <c r="O18" s="156">
        <v>219.21199999999999</v>
      </c>
      <c r="P18" s="156">
        <v>206.304</v>
      </c>
      <c r="Q18" s="156">
        <v>173.62100000000001</v>
      </c>
      <c r="R18" s="156">
        <v>182.19300000000001</v>
      </c>
      <c r="S18" s="156">
        <v>185.685</v>
      </c>
      <c r="T18" s="156">
        <v>172.44499999999999</v>
      </c>
      <c r="U18" s="156">
        <v>171.47200000000001</v>
      </c>
      <c r="V18" s="156">
        <v>165.22499999999999</v>
      </c>
      <c r="W18" s="156">
        <v>153.58000000000001</v>
      </c>
      <c r="X18" s="156">
        <v>155.84299999999999</v>
      </c>
      <c r="Y18" s="156">
        <v>167.691</v>
      </c>
      <c r="Z18" s="156">
        <v>171.875</v>
      </c>
      <c r="AA18" s="156">
        <v>174.06100000000001</v>
      </c>
      <c r="AB18" s="183">
        <v>169.66300000000001</v>
      </c>
      <c r="AC18" s="339">
        <f t="shared" si="2"/>
        <v>-2.5267004096264998</v>
      </c>
      <c r="AD18" s="88" t="s">
        <v>25</v>
      </c>
    </row>
    <row r="19" spans="1:30" ht="12.75" customHeight="1" x14ac:dyDescent="0.2">
      <c r="A19" s="15"/>
      <c r="B19" s="17" t="s">
        <v>36</v>
      </c>
      <c r="C19" s="114"/>
      <c r="D19" s="57"/>
      <c r="E19" s="57"/>
      <c r="F19" s="141"/>
      <c r="G19" s="57">
        <v>2.4239999999999999</v>
      </c>
      <c r="H19" s="57">
        <v>2.8559999999999999</v>
      </c>
      <c r="I19" s="57">
        <v>6.7829999999999995</v>
      </c>
      <c r="J19" s="57">
        <v>7.4130000000000003</v>
      </c>
      <c r="K19" s="57">
        <v>8.2409999999999997</v>
      </c>
      <c r="L19" s="57">
        <v>8.8189999999999991</v>
      </c>
      <c r="M19" s="57">
        <v>9.3279999999999994</v>
      </c>
      <c r="N19" s="57">
        <v>10.175000000000001</v>
      </c>
      <c r="O19" s="57">
        <v>10.502000000000001</v>
      </c>
      <c r="P19" s="57">
        <v>11.042</v>
      </c>
      <c r="Q19" s="57">
        <v>9.4260000000000002</v>
      </c>
      <c r="R19" s="57">
        <v>8.7799999999999994</v>
      </c>
      <c r="S19" s="57">
        <v>8.9260000000000002</v>
      </c>
      <c r="T19" s="57">
        <v>8.6489999999999991</v>
      </c>
      <c r="U19" s="57">
        <v>9.1329999999999991</v>
      </c>
      <c r="V19" s="57">
        <v>9.3810000000000002</v>
      </c>
      <c r="W19" s="57">
        <v>10.439</v>
      </c>
      <c r="X19" s="57">
        <v>11.337</v>
      </c>
      <c r="Y19" s="57">
        <v>11.834</v>
      </c>
      <c r="Z19" s="57">
        <v>12.635</v>
      </c>
      <c r="AA19" s="57">
        <v>12.477</v>
      </c>
      <c r="AB19" s="163">
        <v>12.255000000000001</v>
      </c>
      <c r="AC19" s="175">
        <f t="shared" si="2"/>
        <v>-1.7792738639095944</v>
      </c>
      <c r="AD19" s="17" t="s">
        <v>36</v>
      </c>
    </row>
    <row r="20" spans="1:30" ht="12.75" customHeight="1" x14ac:dyDescent="0.2">
      <c r="A20" s="15"/>
      <c r="B20" s="88" t="s">
        <v>27</v>
      </c>
      <c r="C20" s="158">
        <v>174.43100000000001</v>
      </c>
      <c r="D20" s="159">
        <v>175.45</v>
      </c>
      <c r="E20" s="159">
        <v>178.35300000000001</v>
      </c>
      <c r="F20" s="159">
        <v>180.482</v>
      </c>
      <c r="G20" s="159">
        <v>177.291</v>
      </c>
      <c r="H20" s="159">
        <v>184.67699999999999</v>
      </c>
      <c r="I20" s="159">
        <v>186.51300000000001</v>
      </c>
      <c r="J20" s="151">
        <v>192.68100000000001</v>
      </c>
      <c r="K20" s="151">
        <v>174.08799999999999</v>
      </c>
      <c r="L20" s="151">
        <v>196.98</v>
      </c>
      <c r="M20" s="151">
        <v>211.804</v>
      </c>
      <c r="N20" s="151">
        <v>187.065</v>
      </c>
      <c r="O20" s="151">
        <v>179.411</v>
      </c>
      <c r="P20" s="151">
        <v>180.46100000000001</v>
      </c>
      <c r="Q20" s="151">
        <v>167.62700000000001</v>
      </c>
      <c r="R20" s="151">
        <v>175.77500000000001</v>
      </c>
      <c r="S20" s="151">
        <v>142.84299999999999</v>
      </c>
      <c r="T20" s="151">
        <v>124.015</v>
      </c>
      <c r="U20" s="151">
        <v>127.241</v>
      </c>
      <c r="V20" s="151">
        <v>117.813</v>
      </c>
      <c r="W20" s="151">
        <v>116.82</v>
      </c>
      <c r="X20" s="151">
        <v>112.637</v>
      </c>
      <c r="Y20" s="151">
        <v>119.687</v>
      </c>
      <c r="Z20" s="151">
        <v>124.91500000000001</v>
      </c>
      <c r="AA20" s="151">
        <v>137.98599999999999</v>
      </c>
      <c r="AB20" s="152">
        <v>133.22200000000001</v>
      </c>
      <c r="AC20" s="339">
        <f t="shared" si="2"/>
        <v>-3.4525241691186039</v>
      </c>
      <c r="AD20" s="88" t="s">
        <v>27</v>
      </c>
    </row>
    <row r="21" spans="1:30" ht="12.75" customHeight="1" x14ac:dyDescent="0.2">
      <c r="A21" s="15"/>
      <c r="B21" s="17" t="s">
        <v>6</v>
      </c>
      <c r="C21" s="114">
        <v>1.2</v>
      </c>
      <c r="D21" s="57">
        <v>1.23</v>
      </c>
      <c r="E21" s="57">
        <v>1.25</v>
      </c>
      <c r="F21" s="57">
        <v>1.29</v>
      </c>
      <c r="G21" s="57">
        <v>1.3</v>
      </c>
      <c r="H21" s="57">
        <v>1.31</v>
      </c>
      <c r="I21" s="57">
        <v>1.32</v>
      </c>
      <c r="J21" s="57">
        <v>1.3220000000000001</v>
      </c>
      <c r="K21" s="57">
        <v>1.401</v>
      </c>
      <c r="L21" s="57">
        <v>1.119</v>
      </c>
      <c r="M21" s="57">
        <v>1.393</v>
      </c>
      <c r="N21" s="57">
        <v>1.165</v>
      </c>
      <c r="O21" s="57">
        <v>1.202</v>
      </c>
      <c r="P21" s="57">
        <v>1.3080000000000001</v>
      </c>
      <c r="Q21" s="57">
        <v>0.96299999999999997</v>
      </c>
      <c r="R21" s="57">
        <v>1.087</v>
      </c>
      <c r="S21" s="57">
        <v>0.94099999999999995</v>
      </c>
      <c r="T21" s="57">
        <v>0.89600000000000002</v>
      </c>
      <c r="U21" s="57">
        <v>0.63400000000000001</v>
      </c>
      <c r="V21" s="57">
        <v>0.53800000000000003</v>
      </c>
      <c r="W21" s="57">
        <v>0.56299999999999994</v>
      </c>
      <c r="X21" s="57">
        <v>0.70299999999999996</v>
      </c>
      <c r="Y21" s="57">
        <v>0.82599999999999996</v>
      </c>
      <c r="Z21" s="57">
        <v>0.89200000000000002</v>
      </c>
      <c r="AA21" s="57">
        <v>0.85799999999999998</v>
      </c>
      <c r="AB21" s="163">
        <v>0.70899999999999996</v>
      </c>
      <c r="AC21" s="175">
        <f t="shared" si="2"/>
        <v>-17.365967365967379</v>
      </c>
      <c r="AD21" s="17" t="s">
        <v>6</v>
      </c>
    </row>
    <row r="22" spans="1:30" ht="12.75" customHeight="1" x14ac:dyDescent="0.2">
      <c r="A22" s="15"/>
      <c r="B22" s="88" t="s">
        <v>10</v>
      </c>
      <c r="C22" s="150">
        <v>1.83</v>
      </c>
      <c r="D22" s="151">
        <v>2.2080000000000002</v>
      </c>
      <c r="E22" s="151">
        <v>3.3519999999999999</v>
      </c>
      <c r="F22" s="151">
        <v>4.1079999999999997</v>
      </c>
      <c r="G22" s="151">
        <v>4.1609999999999996</v>
      </c>
      <c r="H22" s="151">
        <v>4.7889999999999997</v>
      </c>
      <c r="I22" s="151">
        <v>5.36</v>
      </c>
      <c r="J22" s="151">
        <v>6.2</v>
      </c>
      <c r="K22" s="151">
        <v>6.8079999999999998</v>
      </c>
      <c r="L22" s="151">
        <v>7.3810000000000002</v>
      </c>
      <c r="M22" s="151">
        <v>8.3940000000000001</v>
      </c>
      <c r="N22" s="151">
        <v>10.753</v>
      </c>
      <c r="O22" s="151">
        <v>13.204000000000001</v>
      </c>
      <c r="P22" s="151">
        <v>12.343999999999999</v>
      </c>
      <c r="Q22" s="151">
        <v>8.1150000000000002</v>
      </c>
      <c r="R22" s="151">
        <v>10.59</v>
      </c>
      <c r="S22" s="151">
        <v>12.131</v>
      </c>
      <c r="T22" s="151">
        <v>12.178000000000001</v>
      </c>
      <c r="U22" s="151">
        <v>12.816000000000001</v>
      </c>
      <c r="V22" s="151">
        <v>13.67</v>
      </c>
      <c r="W22" s="151">
        <v>14.69</v>
      </c>
      <c r="X22" s="151">
        <v>14.227</v>
      </c>
      <c r="Y22" s="151">
        <v>14.972</v>
      </c>
      <c r="Z22" s="151">
        <v>14.997</v>
      </c>
      <c r="AA22" s="151">
        <v>14.965</v>
      </c>
      <c r="AB22" s="152">
        <v>13.705</v>
      </c>
      <c r="AC22" s="339">
        <f t="shared" si="2"/>
        <v>-8.4196458402940237</v>
      </c>
      <c r="AD22" s="88" t="s">
        <v>10</v>
      </c>
    </row>
    <row r="23" spans="1:30" ht="12.75" customHeight="1" x14ac:dyDescent="0.2">
      <c r="A23" s="15"/>
      <c r="B23" s="17" t="s">
        <v>11</v>
      </c>
      <c r="C23" s="114">
        <v>5.2</v>
      </c>
      <c r="D23" s="57">
        <v>4.1909999999999998</v>
      </c>
      <c r="E23" s="57">
        <v>5.1459999999999999</v>
      </c>
      <c r="F23" s="57">
        <v>5.6109999999999998</v>
      </c>
      <c r="G23" s="57">
        <v>7.74</v>
      </c>
      <c r="H23" s="57">
        <v>7.7690000000000001</v>
      </c>
      <c r="I23" s="57">
        <v>8.2739999999999991</v>
      </c>
      <c r="J23" s="57">
        <v>10.709</v>
      </c>
      <c r="K23" s="57">
        <v>11.462</v>
      </c>
      <c r="L23" s="57">
        <v>12.279</v>
      </c>
      <c r="M23" s="57">
        <v>15.907999999999999</v>
      </c>
      <c r="N23" s="57">
        <v>18.134</v>
      </c>
      <c r="O23" s="57">
        <v>20.277999999999999</v>
      </c>
      <c r="P23" s="57">
        <v>20.419</v>
      </c>
      <c r="Q23" s="57">
        <v>17.757000000000001</v>
      </c>
      <c r="R23" s="57">
        <v>19.398</v>
      </c>
      <c r="S23" s="57">
        <v>21.512</v>
      </c>
      <c r="T23" s="57">
        <v>23.449000000000002</v>
      </c>
      <c r="U23" s="57">
        <v>26.338000000000001</v>
      </c>
      <c r="V23" s="57">
        <v>28.067</v>
      </c>
      <c r="W23" s="57">
        <v>26.484999999999999</v>
      </c>
      <c r="X23" s="57">
        <v>30.974</v>
      </c>
      <c r="Y23" s="57">
        <v>39.098999999999997</v>
      </c>
      <c r="Z23" s="57">
        <v>43.59</v>
      </c>
      <c r="AA23" s="57">
        <v>53.116999999999997</v>
      </c>
      <c r="AB23" s="163">
        <v>55.292000000000002</v>
      </c>
      <c r="AC23" s="175">
        <f t="shared" si="2"/>
        <v>4.0947342658659238</v>
      </c>
      <c r="AD23" s="17" t="s">
        <v>11</v>
      </c>
    </row>
    <row r="24" spans="1:30" ht="12.75" customHeight="1" x14ac:dyDescent="0.2">
      <c r="A24" s="15"/>
      <c r="B24" s="88" t="s">
        <v>28</v>
      </c>
      <c r="C24" s="150">
        <v>5.5</v>
      </c>
      <c r="D24" s="151">
        <v>3.5</v>
      </c>
      <c r="E24" s="151">
        <v>4.4000000000000004</v>
      </c>
      <c r="F24" s="151">
        <v>5</v>
      </c>
      <c r="G24" s="151">
        <v>6.3129999999999997</v>
      </c>
      <c r="H24" s="151">
        <v>7.609</v>
      </c>
      <c r="I24" s="151">
        <v>8.6999999999999993</v>
      </c>
      <c r="J24" s="151">
        <v>9.1790000000000003</v>
      </c>
      <c r="K24" s="151">
        <v>9.6449999999999996</v>
      </c>
      <c r="L24" s="151">
        <v>9.5749999999999993</v>
      </c>
      <c r="M24" s="151">
        <v>8.8030000000000008</v>
      </c>
      <c r="N24" s="151">
        <v>8.8070000000000004</v>
      </c>
      <c r="O24" s="151">
        <v>9.5619999999999994</v>
      </c>
      <c r="P24" s="151">
        <v>8.9649999999999999</v>
      </c>
      <c r="Q24" s="151">
        <v>8.4</v>
      </c>
      <c r="R24" s="151">
        <v>8.6940000000000008</v>
      </c>
      <c r="S24" s="151">
        <v>8.8350000000000009</v>
      </c>
      <c r="T24" s="151">
        <v>7.95</v>
      </c>
      <c r="U24" s="151">
        <v>8.6059999999999999</v>
      </c>
      <c r="V24" s="151">
        <v>9.5990000000000002</v>
      </c>
      <c r="W24" s="151">
        <v>7.8490000000000002</v>
      </c>
      <c r="X24" s="151">
        <v>8.2970000000000006</v>
      </c>
      <c r="Y24" s="151">
        <v>8.0920000000000005</v>
      </c>
      <c r="Z24" s="151">
        <v>6.8</v>
      </c>
      <c r="AA24" s="151">
        <v>7.3810000000000002</v>
      </c>
      <c r="AB24" s="152">
        <v>6.1760000000000002</v>
      </c>
      <c r="AC24" s="339">
        <f t="shared" si="2"/>
        <v>-16.325701124508868</v>
      </c>
      <c r="AD24" s="88" t="s">
        <v>28</v>
      </c>
    </row>
    <row r="25" spans="1:30" ht="12.75" customHeight="1" x14ac:dyDescent="0.2">
      <c r="A25" s="15"/>
      <c r="B25" s="17" t="s">
        <v>9</v>
      </c>
      <c r="C25" s="153">
        <v>13.8</v>
      </c>
      <c r="D25" s="154">
        <v>14.3</v>
      </c>
      <c r="E25" s="154">
        <v>14.9</v>
      </c>
      <c r="F25" s="154">
        <v>18.673999999999999</v>
      </c>
      <c r="G25" s="154">
        <v>18.599</v>
      </c>
      <c r="H25" s="154">
        <v>19.123999999999999</v>
      </c>
      <c r="I25" s="154">
        <v>18.486000000000001</v>
      </c>
      <c r="J25" s="154">
        <v>17.913</v>
      </c>
      <c r="K25" s="154">
        <v>18.207999999999998</v>
      </c>
      <c r="L25" s="154">
        <v>20.608000000000001</v>
      </c>
      <c r="M25" s="154">
        <v>25.152000000000001</v>
      </c>
      <c r="N25" s="154">
        <v>30.478999999999999</v>
      </c>
      <c r="O25" s="154">
        <v>35.805</v>
      </c>
      <c r="P25" s="154">
        <v>35.759</v>
      </c>
      <c r="Q25" s="154">
        <v>35.372999999999998</v>
      </c>
      <c r="R25" s="154">
        <v>33.720999999999997</v>
      </c>
      <c r="S25" s="154">
        <v>34.529000000000003</v>
      </c>
      <c r="T25" s="154">
        <v>33.735999999999997</v>
      </c>
      <c r="U25" s="154">
        <v>35.817999999999998</v>
      </c>
      <c r="V25" s="154">
        <v>37.517000000000003</v>
      </c>
      <c r="W25" s="154">
        <v>38.353000000000002</v>
      </c>
      <c r="X25" s="154">
        <v>40.002000000000002</v>
      </c>
      <c r="Y25" s="154">
        <v>39.683999999999997</v>
      </c>
      <c r="Z25" s="154">
        <v>37.948</v>
      </c>
      <c r="AA25" s="154">
        <v>36.951000000000001</v>
      </c>
      <c r="AB25" s="174">
        <v>32.223999999999997</v>
      </c>
      <c r="AC25" s="175">
        <f t="shared" si="2"/>
        <v>-12.792617249871469</v>
      </c>
      <c r="AD25" s="17" t="s">
        <v>9</v>
      </c>
    </row>
    <row r="26" spans="1:30" ht="12.75" customHeight="1" x14ac:dyDescent="0.2">
      <c r="A26" s="15"/>
      <c r="B26" s="56" t="s">
        <v>12</v>
      </c>
      <c r="C26" s="158">
        <v>0.25</v>
      </c>
      <c r="D26" s="159">
        <v>0.25</v>
      </c>
      <c r="E26" s="159">
        <v>0.25</v>
      </c>
      <c r="F26" s="159">
        <v>0.25</v>
      </c>
      <c r="G26" s="159">
        <v>0.25</v>
      </c>
      <c r="H26" s="159">
        <v>0.25</v>
      </c>
      <c r="I26" s="159">
        <v>0.25</v>
      </c>
      <c r="J26" s="159">
        <v>0.25</v>
      </c>
      <c r="K26" s="159">
        <v>0.25</v>
      </c>
      <c r="L26" s="159">
        <v>0.25</v>
      </c>
      <c r="M26" s="159">
        <v>0.25</v>
      </c>
      <c r="N26" s="159">
        <v>0.25</v>
      </c>
      <c r="O26" s="159">
        <v>0.25</v>
      </c>
      <c r="P26" s="159">
        <v>0.25</v>
      </c>
      <c r="Q26" s="159">
        <v>0.25</v>
      </c>
      <c r="R26" s="159">
        <v>0.25</v>
      </c>
      <c r="S26" s="159">
        <v>0.25</v>
      </c>
      <c r="T26" s="159">
        <v>0.25</v>
      </c>
      <c r="U26" s="159">
        <v>0.25</v>
      </c>
      <c r="V26" s="159">
        <v>0.25</v>
      </c>
      <c r="W26" s="159">
        <v>0.25</v>
      </c>
      <c r="X26" s="159">
        <v>0.25</v>
      </c>
      <c r="Y26" s="159">
        <v>0.25</v>
      </c>
      <c r="Z26" s="159">
        <v>0.25</v>
      </c>
      <c r="AA26" s="159">
        <v>0.25</v>
      </c>
      <c r="AB26" s="179">
        <v>0.25</v>
      </c>
      <c r="AC26" s="270">
        <f t="shared" si="2"/>
        <v>0</v>
      </c>
      <c r="AD26" s="56" t="s">
        <v>12</v>
      </c>
    </row>
    <row r="27" spans="1:30" ht="12.75" customHeight="1" x14ac:dyDescent="0.2">
      <c r="A27" s="15"/>
      <c r="B27" s="17" t="s">
        <v>20</v>
      </c>
      <c r="C27" s="114">
        <v>67.099999999999994</v>
      </c>
      <c r="D27" s="57">
        <v>69.400000000000006</v>
      </c>
      <c r="E27" s="57">
        <v>70.599999999999994</v>
      </c>
      <c r="F27" s="57">
        <v>78.5</v>
      </c>
      <c r="G27" s="57">
        <v>83.563999999999993</v>
      </c>
      <c r="H27" s="57">
        <v>79.564999999999998</v>
      </c>
      <c r="I27" s="57">
        <v>78.492000000000004</v>
      </c>
      <c r="J27" s="57">
        <v>77.418000000000006</v>
      </c>
      <c r="K27" s="57">
        <v>79.765000000000001</v>
      </c>
      <c r="L27" s="57">
        <v>89.694999999999993</v>
      </c>
      <c r="M27" s="57">
        <v>84.162999999999997</v>
      </c>
      <c r="N27" s="57">
        <v>83.192999999999998</v>
      </c>
      <c r="O27" s="57">
        <v>77.921000000000006</v>
      </c>
      <c r="P27" s="57">
        <v>78.159000000000006</v>
      </c>
      <c r="Q27" s="57">
        <v>72.674999999999997</v>
      </c>
      <c r="R27" s="57">
        <v>76.835999999999999</v>
      </c>
      <c r="S27" s="57">
        <v>75.543000000000006</v>
      </c>
      <c r="T27" s="57">
        <v>70.084999999999994</v>
      </c>
      <c r="U27" s="57">
        <v>72.081000000000003</v>
      </c>
      <c r="V27" s="57">
        <v>72.337999999999994</v>
      </c>
      <c r="W27" s="57">
        <v>68.900000000000006</v>
      </c>
      <c r="X27" s="57">
        <v>67.778999999999996</v>
      </c>
      <c r="Y27" s="57">
        <v>67.533000000000001</v>
      </c>
      <c r="Z27" s="57">
        <v>68.876000000000005</v>
      </c>
      <c r="AA27" s="57">
        <v>68.337000000000003</v>
      </c>
      <c r="AB27" s="163">
        <v>67.218999999999994</v>
      </c>
      <c r="AC27" s="175">
        <f t="shared" si="2"/>
        <v>-1.636009775085256</v>
      </c>
      <c r="AD27" s="17" t="s">
        <v>20</v>
      </c>
    </row>
    <row r="28" spans="1:30" ht="12.75" customHeight="1" x14ac:dyDescent="0.2">
      <c r="A28" s="15"/>
      <c r="B28" s="88" t="s">
        <v>29</v>
      </c>
      <c r="C28" s="150">
        <v>26.5</v>
      </c>
      <c r="D28" s="151">
        <v>27.8</v>
      </c>
      <c r="E28" s="151">
        <v>28.6</v>
      </c>
      <c r="F28" s="151">
        <v>30.3</v>
      </c>
      <c r="G28" s="156">
        <v>33.981999999999999</v>
      </c>
      <c r="H28" s="156">
        <v>35.122</v>
      </c>
      <c r="I28" s="156">
        <v>37.531999999999996</v>
      </c>
      <c r="J28" s="156">
        <v>38.497999999999998</v>
      </c>
      <c r="K28" s="156">
        <v>39.557000000000002</v>
      </c>
      <c r="L28" s="156">
        <v>39.186</v>
      </c>
      <c r="M28" s="156">
        <v>37.043999999999997</v>
      </c>
      <c r="N28" s="156">
        <v>39.186999999999998</v>
      </c>
      <c r="O28" s="156">
        <v>37.402000000000001</v>
      </c>
      <c r="P28" s="156">
        <v>34.313000000000002</v>
      </c>
      <c r="Q28" s="156">
        <v>29.074999999999999</v>
      </c>
      <c r="R28" s="156">
        <v>28.658999999999999</v>
      </c>
      <c r="S28" s="156">
        <v>28.542000000000002</v>
      </c>
      <c r="T28" s="156">
        <v>26.088999999999999</v>
      </c>
      <c r="U28" s="156">
        <v>24.213000000000001</v>
      </c>
      <c r="V28" s="156">
        <v>25.26</v>
      </c>
      <c r="W28" s="156">
        <v>25.457999999999998</v>
      </c>
      <c r="X28" s="156">
        <v>26.138000000000002</v>
      </c>
      <c r="Y28" s="156">
        <v>25.978000000000002</v>
      </c>
      <c r="Z28" s="156">
        <v>25.763000000000002</v>
      </c>
      <c r="AA28" s="156">
        <v>26.443999999999999</v>
      </c>
      <c r="AB28" s="183">
        <v>25.91</v>
      </c>
      <c r="AC28" s="339">
        <f t="shared" si="2"/>
        <v>-2.0193616699440327</v>
      </c>
      <c r="AD28" s="88" t="s">
        <v>29</v>
      </c>
    </row>
    <row r="29" spans="1:30" ht="12.75" customHeight="1" x14ac:dyDescent="0.2">
      <c r="A29" s="15"/>
      <c r="B29" s="17" t="s">
        <v>13</v>
      </c>
      <c r="C29" s="145">
        <v>51.2</v>
      </c>
      <c r="D29" s="141">
        <v>56.513000000000005</v>
      </c>
      <c r="E29" s="141">
        <v>63.683999999999997</v>
      </c>
      <c r="F29" s="141">
        <v>69.542000000000002</v>
      </c>
      <c r="G29" s="141">
        <v>70.451999999999998</v>
      </c>
      <c r="H29" s="141">
        <v>75.022999999999996</v>
      </c>
      <c r="I29" s="141">
        <v>77.227999999999994</v>
      </c>
      <c r="J29" s="141">
        <v>80.317999999999998</v>
      </c>
      <c r="K29" s="141">
        <v>85.989000000000004</v>
      </c>
      <c r="L29" s="57">
        <v>102.807</v>
      </c>
      <c r="M29" s="57">
        <v>111.82599999999999</v>
      </c>
      <c r="N29" s="57">
        <v>128.315</v>
      </c>
      <c r="O29" s="57">
        <v>150.87899999999999</v>
      </c>
      <c r="P29" s="57">
        <v>164.93</v>
      </c>
      <c r="Q29" s="57">
        <v>180.74199999999999</v>
      </c>
      <c r="R29" s="57">
        <v>202.30799999999999</v>
      </c>
      <c r="S29" s="57">
        <v>207.65100000000001</v>
      </c>
      <c r="T29" s="57">
        <v>222.33199999999999</v>
      </c>
      <c r="U29" s="57">
        <v>247.59399999999999</v>
      </c>
      <c r="V29" s="57">
        <v>250.93100000000001</v>
      </c>
      <c r="W29" s="57">
        <v>260.71300000000002</v>
      </c>
      <c r="X29" s="57">
        <v>290.74900000000002</v>
      </c>
      <c r="Y29" s="57">
        <v>335.22</v>
      </c>
      <c r="Z29" s="57">
        <v>315.87400000000002</v>
      </c>
      <c r="AA29" s="57">
        <v>348.952</v>
      </c>
      <c r="AB29" s="163">
        <v>354.92700000000002</v>
      </c>
      <c r="AC29" s="175">
        <f t="shared" si="2"/>
        <v>1.7122698823907001</v>
      </c>
      <c r="AD29" s="17" t="s">
        <v>13</v>
      </c>
    </row>
    <row r="30" spans="1:30" ht="12.75" customHeight="1" x14ac:dyDescent="0.2">
      <c r="A30" s="15"/>
      <c r="B30" s="88" t="s">
        <v>30</v>
      </c>
      <c r="C30" s="150">
        <v>32</v>
      </c>
      <c r="D30" s="151">
        <v>33.64</v>
      </c>
      <c r="E30" s="151">
        <v>35.96</v>
      </c>
      <c r="F30" s="151">
        <v>36.68</v>
      </c>
      <c r="G30" s="199">
        <v>26.087</v>
      </c>
      <c r="H30" s="151">
        <v>26.835999999999999</v>
      </c>
      <c r="I30" s="151">
        <v>29.966999999999999</v>
      </c>
      <c r="J30" s="151">
        <v>29.724</v>
      </c>
      <c r="K30" s="151">
        <v>27.425000000000001</v>
      </c>
      <c r="L30" s="199">
        <v>40.819000000000003</v>
      </c>
      <c r="M30" s="151">
        <v>42.606999999999999</v>
      </c>
      <c r="N30" s="151">
        <v>44.835000000000001</v>
      </c>
      <c r="O30" s="151">
        <v>46.203000000000003</v>
      </c>
      <c r="P30" s="151">
        <v>39.091000000000001</v>
      </c>
      <c r="Q30" s="151">
        <v>35.808</v>
      </c>
      <c r="R30" s="151">
        <v>35.368000000000002</v>
      </c>
      <c r="S30" s="151">
        <v>36.453000000000003</v>
      </c>
      <c r="T30" s="151">
        <v>32.935000000000002</v>
      </c>
      <c r="U30" s="151">
        <v>36.555</v>
      </c>
      <c r="V30" s="151">
        <v>34.863</v>
      </c>
      <c r="W30" s="151">
        <v>31.835000000000001</v>
      </c>
      <c r="X30" s="151">
        <v>34.877000000000002</v>
      </c>
      <c r="Y30" s="151">
        <v>34.186</v>
      </c>
      <c r="Z30" s="151">
        <v>32.963000000000001</v>
      </c>
      <c r="AA30" s="151">
        <v>31.013999999999999</v>
      </c>
      <c r="AB30" s="152">
        <v>24.241</v>
      </c>
      <c r="AC30" s="339">
        <f t="shared" si="2"/>
        <v>-21.83852453730573</v>
      </c>
      <c r="AD30" s="88" t="s">
        <v>30</v>
      </c>
    </row>
    <row r="31" spans="1:30" ht="12.75" customHeight="1" x14ac:dyDescent="0.2">
      <c r="A31" s="15"/>
      <c r="B31" s="17" t="s">
        <v>14</v>
      </c>
      <c r="C31" s="160">
        <v>19.7</v>
      </c>
      <c r="D31" s="161">
        <v>19.8</v>
      </c>
      <c r="E31" s="161">
        <v>21.8</v>
      </c>
      <c r="F31" s="161">
        <v>15.785</v>
      </c>
      <c r="G31" s="161">
        <v>13.456</v>
      </c>
      <c r="H31" s="167">
        <v>14.288</v>
      </c>
      <c r="I31" s="161">
        <v>18.544</v>
      </c>
      <c r="J31" s="161">
        <v>25.35</v>
      </c>
      <c r="K31" s="161">
        <v>30.853000000000002</v>
      </c>
      <c r="L31" s="161">
        <v>37.22</v>
      </c>
      <c r="M31" s="161">
        <v>51.531999999999996</v>
      </c>
      <c r="N31" s="161">
        <v>57.287999999999997</v>
      </c>
      <c r="O31" s="161">
        <v>59.524000000000001</v>
      </c>
      <c r="P31" s="161">
        <v>56.386000000000003</v>
      </c>
      <c r="Q31" s="161">
        <v>34.268999999999998</v>
      </c>
      <c r="R31" s="161">
        <v>25.888999999999999</v>
      </c>
      <c r="S31" s="161">
        <v>26.349</v>
      </c>
      <c r="T31" s="161">
        <v>29.661999999999999</v>
      </c>
      <c r="U31" s="161">
        <v>34.026000000000003</v>
      </c>
      <c r="V31" s="161">
        <v>35.136000000000003</v>
      </c>
      <c r="W31" s="161">
        <v>39.023000000000003</v>
      </c>
      <c r="X31" s="161">
        <v>48.176000000000002</v>
      </c>
      <c r="Y31" s="161">
        <v>54.704000000000001</v>
      </c>
      <c r="Z31" s="161">
        <v>58.762</v>
      </c>
      <c r="AA31" s="161">
        <v>61.040999999999997</v>
      </c>
      <c r="AB31" s="162">
        <v>55.027000000000001</v>
      </c>
      <c r="AC31" s="175">
        <f t="shared" si="2"/>
        <v>-9.8523942923608701</v>
      </c>
      <c r="AD31" s="17" t="s">
        <v>14</v>
      </c>
    </row>
    <row r="32" spans="1:30" ht="12.75" customHeight="1" x14ac:dyDescent="0.2">
      <c r="A32" s="15"/>
      <c r="B32" s="88" t="s">
        <v>16</v>
      </c>
      <c r="C32" s="150">
        <v>3.3</v>
      </c>
      <c r="D32" s="151">
        <v>3.5</v>
      </c>
      <c r="E32" s="151">
        <v>3.9</v>
      </c>
      <c r="F32" s="151">
        <v>3.8</v>
      </c>
      <c r="G32" s="151">
        <v>4.2</v>
      </c>
      <c r="H32" s="151">
        <v>5.3</v>
      </c>
      <c r="I32" s="151">
        <v>7.0350000000000001</v>
      </c>
      <c r="J32" s="151">
        <v>6.609</v>
      </c>
      <c r="K32" s="151">
        <v>7.04</v>
      </c>
      <c r="L32" s="151">
        <v>9.0069999999999997</v>
      </c>
      <c r="M32" s="151">
        <v>11.032</v>
      </c>
      <c r="N32" s="151">
        <v>12.112</v>
      </c>
      <c r="O32" s="151">
        <v>13.734</v>
      </c>
      <c r="P32" s="151">
        <v>16.260999999999999</v>
      </c>
      <c r="Q32" s="151">
        <v>14.762</v>
      </c>
      <c r="R32" s="151">
        <v>15.930999999999999</v>
      </c>
      <c r="S32" s="151">
        <v>16.439</v>
      </c>
      <c r="T32" s="151">
        <v>15.888</v>
      </c>
      <c r="U32" s="151">
        <v>15.904999999999999</v>
      </c>
      <c r="V32" s="151">
        <v>16.273</v>
      </c>
      <c r="W32" s="151">
        <v>17.908999999999999</v>
      </c>
      <c r="X32" s="151">
        <v>18.707000000000001</v>
      </c>
      <c r="Y32" s="151">
        <v>20.814</v>
      </c>
      <c r="Z32" s="151">
        <v>22.225000000000001</v>
      </c>
      <c r="AA32" s="151">
        <v>24.010999999999999</v>
      </c>
      <c r="AB32" s="152">
        <v>22.661999999999999</v>
      </c>
      <c r="AC32" s="339">
        <f t="shared" si="2"/>
        <v>-5.6182582982799545</v>
      </c>
      <c r="AD32" s="88" t="s">
        <v>16</v>
      </c>
    </row>
    <row r="33" spans="1:30" ht="12.75" customHeight="1" x14ac:dyDescent="0.2">
      <c r="A33" s="15"/>
      <c r="B33" s="17" t="s">
        <v>15</v>
      </c>
      <c r="C33" s="160">
        <v>15.9</v>
      </c>
      <c r="D33" s="161">
        <v>15.85</v>
      </c>
      <c r="E33" s="161">
        <v>15.35</v>
      </c>
      <c r="F33" s="161">
        <v>17.88</v>
      </c>
      <c r="G33" s="161">
        <v>18.52</v>
      </c>
      <c r="H33" s="161">
        <v>14.34</v>
      </c>
      <c r="I33" s="161">
        <v>13.8</v>
      </c>
      <c r="J33" s="161">
        <v>14.93</v>
      </c>
      <c r="K33" s="161">
        <v>16.748000000000001</v>
      </c>
      <c r="L33" s="161">
        <v>18.527000000000001</v>
      </c>
      <c r="M33" s="161">
        <v>22.565999999999999</v>
      </c>
      <c r="N33" s="161">
        <v>22.212</v>
      </c>
      <c r="O33" s="161">
        <v>27.158999999999999</v>
      </c>
      <c r="P33" s="161">
        <v>29.276</v>
      </c>
      <c r="Q33" s="161">
        <v>27.704999999999998</v>
      </c>
      <c r="R33" s="161">
        <v>27.574999999999999</v>
      </c>
      <c r="S33" s="161">
        <v>29.178999999999998</v>
      </c>
      <c r="T33" s="161">
        <v>29.693000000000001</v>
      </c>
      <c r="U33" s="161">
        <v>30.146999999999998</v>
      </c>
      <c r="V33" s="161">
        <v>31.358000000000001</v>
      </c>
      <c r="W33" s="161">
        <v>33.54</v>
      </c>
      <c r="X33" s="161">
        <v>36.139000000000003</v>
      </c>
      <c r="Y33" s="161">
        <v>35.411000000000001</v>
      </c>
      <c r="Z33" s="161">
        <v>35.585999999999999</v>
      </c>
      <c r="AA33" s="161">
        <v>33.941000000000003</v>
      </c>
      <c r="AB33" s="162">
        <v>31.634</v>
      </c>
      <c r="AC33" s="175">
        <f t="shared" si="2"/>
        <v>-6.7970890663209786</v>
      </c>
      <c r="AD33" s="17" t="s">
        <v>15</v>
      </c>
    </row>
    <row r="34" spans="1:30" ht="12.75" customHeight="1" x14ac:dyDescent="0.2">
      <c r="A34" s="15"/>
      <c r="B34" s="88" t="s">
        <v>31</v>
      </c>
      <c r="C34" s="150">
        <v>24.5</v>
      </c>
      <c r="D34" s="151">
        <v>25</v>
      </c>
      <c r="E34" s="151">
        <v>25.7</v>
      </c>
      <c r="F34" s="151">
        <v>28.1</v>
      </c>
      <c r="G34" s="151">
        <v>29.655999999999999</v>
      </c>
      <c r="H34" s="151">
        <v>31.975000000000001</v>
      </c>
      <c r="I34" s="151">
        <v>30.478000000000002</v>
      </c>
      <c r="J34" s="151">
        <v>31.966999999999999</v>
      </c>
      <c r="K34" s="151">
        <v>30.925999999999998</v>
      </c>
      <c r="L34" s="151">
        <v>32.29</v>
      </c>
      <c r="M34" s="151">
        <v>31.856999999999999</v>
      </c>
      <c r="N34" s="151">
        <v>29.715</v>
      </c>
      <c r="O34" s="151">
        <v>29.818999999999999</v>
      </c>
      <c r="P34" s="151">
        <v>31.036000000000001</v>
      </c>
      <c r="Q34" s="151">
        <v>27.805</v>
      </c>
      <c r="R34" s="151">
        <v>29.532</v>
      </c>
      <c r="S34" s="151">
        <v>26.863</v>
      </c>
      <c r="T34" s="151">
        <v>25.46</v>
      </c>
      <c r="U34" s="151">
        <v>24.428999999999998</v>
      </c>
      <c r="V34" s="151">
        <v>23.401</v>
      </c>
      <c r="W34" s="151">
        <v>24.488</v>
      </c>
      <c r="X34" s="151">
        <v>26.846</v>
      </c>
      <c r="Y34" s="151">
        <v>27.966000000000001</v>
      </c>
      <c r="Z34" s="151">
        <v>28.344999999999999</v>
      </c>
      <c r="AA34" s="151">
        <v>28.847999999999999</v>
      </c>
      <c r="AB34" s="152">
        <v>29.670999999999999</v>
      </c>
      <c r="AC34" s="339">
        <f t="shared" si="2"/>
        <v>2.85288408208541</v>
      </c>
      <c r="AD34" s="88" t="s">
        <v>31</v>
      </c>
    </row>
    <row r="35" spans="1:30" ht="12.75" customHeight="1" x14ac:dyDescent="0.2">
      <c r="A35" s="15"/>
      <c r="B35" s="18" t="s">
        <v>32</v>
      </c>
      <c r="C35" s="372">
        <v>31.6</v>
      </c>
      <c r="D35" s="168">
        <v>33.299999999999997</v>
      </c>
      <c r="E35" s="168">
        <v>35.1</v>
      </c>
      <c r="F35" s="168">
        <v>33.299999999999997</v>
      </c>
      <c r="G35" s="168">
        <v>33.200000000000003</v>
      </c>
      <c r="H35" s="168">
        <v>35.621000000000002</v>
      </c>
      <c r="I35" s="168">
        <v>34.158000000000001</v>
      </c>
      <c r="J35" s="168">
        <v>36.652000000000001</v>
      </c>
      <c r="K35" s="168">
        <v>36.637999999999998</v>
      </c>
      <c r="L35" s="168">
        <v>36.948999999999998</v>
      </c>
      <c r="M35" s="168">
        <v>38.575000000000003</v>
      </c>
      <c r="N35" s="168">
        <v>39.917999999999999</v>
      </c>
      <c r="O35" s="168">
        <v>40.54</v>
      </c>
      <c r="P35" s="168">
        <v>42.37</v>
      </c>
      <c r="Q35" s="168">
        <v>35.046999999999997</v>
      </c>
      <c r="R35" s="168">
        <v>36.268000000000001</v>
      </c>
      <c r="S35" s="168">
        <v>36.932000000000002</v>
      </c>
      <c r="T35" s="168">
        <v>33.481000000000002</v>
      </c>
      <c r="U35" s="168">
        <v>33.529000000000003</v>
      </c>
      <c r="V35" s="390">
        <v>41.963999999999999</v>
      </c>
      <c r="W35" s="168">
        <v>41.502000000000002</v>
      </c>
      <c r="X35" s="168">
        <v>42.673000000000002</v>
      </c>
      <c r="Y35" s="168">
        <v>41.850999999999999</v>
      </c>
      <c r="Z35" s="168">
        <v>43.478000000000002</v>
      </c>
      <c r="AA35" s="168">
        <v>42.603999999999999</v>
      </c>
      <c r="AB35" s="391">
        <v>43.186999999999998</v>
      </c>
      <c r="AC35" s="348">
        <f t="shared" si="2"/>
        <v>1.3684161111632704</v>
      </c>
      <c r="AD35" s="18" t="s">
        <v>32</v>
      </c>
    </row>
    <row r="36" spans="1:30" ht="12.75" customHeight="1" x14ac:dyDescent="0.2">
      <c r="A36" s="15"/>
      <c r="B36" s="207" t="s">
        <v>101</v>
      </c>
      <c r="C36" s="208">
        <v>0.5</v>
      </c>
      <c r="D36" s="209">
        <v>0.5</v>
      </c>
      <c r="E36" s="209">
        <v>0.5</v>
      </c>
      <c r="F36" s="209">
        <v>0.5</v>
      </c>
      <c r="G36" s="209">
        <v>0.6</v>
      </c>
      <c r="H36" s="209">
        <v>0.6</v>
      </c>
      <c r="I36" s="210">
        <v>0.64200000000000002</v>
      </c>
      <c r="J36" s="210">
        <v>0.66</v>
      </c>
      <c r="K36" s="210">
        <v>0.67900000000000005</v>
      </c>
      <c r="L36" s="210">
        <v>0.69899999999999995</v>
      </c>
      <c r="M36" s="210">
        <v>0.74099999999999999</v>
      </c>
      <c r="N36" s="210">
        <v>0.78600000000000003</v>
      </c>
      <c r="O36" s="210">
        <v>0.82499999999999996</v>
      </c>
      <c r="P36" s="210">
        <v>0.80500000000000005</v>
      </c>
      <c r="Q36" s="210">
        <v>0.81299999999999994</v>
      </c>
      <c r="R36" s="210">
        <v>0.80600000000000005</v>
      </c>
      <c r="S36" s="211">
        <v>0.77700000000000002</v>
      </c>
      <c r="T36" s="211">
        <v>0.78600000000000003</v>
      </c>
      <c r="U36" s="211">
        <v>0.80800000000000005</v>
      </c>
      <c r="V36" s="211">
        <v>0.85</v>
      </c>
      <c r="W36" s="211">
        <f>0.907</f>
        <v>0.90700000000000003</v>
      </c>
      <c r="X36" s="211">
        <f>1052/1000</f>
        <v>1.052</v>
      </c>
      <c r="Y36" s="211">
        <f>1150/1000</f>
        <v>1.1499999999999999</v>
      </c>
      <c r="Z36" s="211">
        <f>1186/1000</f>
        <v>1.1859999999999999</v>
      </c>
      <c r="AA36" s="211">
        <f>1.172</f>
        <v>1.1719999999999999</v>
      </c>
      <c r="AB36" s="226">
        <f>AVERAGE(Y36:Z36)</f>
        <v>1.1679999999999999</v>
      </c>
      <c r="AC36" s="422">
        <f t="shared" si="2"/>
        <v>-0.34129692832765102</v>
      </c>
      <c r="AD36" s="193" t="s">
        <v>101</v>
      </c>
    </row>
    <row r="37" spans="1:30" ht="12.75" customHeight="1" x14ac:dyDescent="0.2">
      <c r="A37" s="15"/>
      <c r="B37" s="17" t="s">
        <v>33</v>
      </c>
      <c r="C37" s="114">
        <v>9.6999999999999993</v>
      </c>
      <c r="D37" s="57">
        <v>12.5</v>
      </c>
      <c r="E37" s="57">
        <v>14.1</v>
      </c>
      <c r="F37" s="57">
        <v>14.8</v>
      </c>
      <c r="G37" s="57">
        <v>14.916</v>
      </c>
      <c r="H37" s="57">
        <v>15.132</v>
      </c>
      <c r="I37" s="57">
        <v>15.179</v>
      </c>
      <c r="J37" s="57">
        <v>15.426</v>
      </c>
      <c r="K37" s="57">
        <v>16.59</v>
      </c>
      <c r="L37" s="57">
        <v>17.46</v>
      </c>
      <c r="M37" s="57">
        <v>18.247</v>
      </c>
      <c r="N37" s="57">
        <v>19.387</v>
      </c>
      <c r="O37" s="57">
        <v>19.375</v>
      </c>
      <c r="P37" s="57">
        <v>20.594999999999999</v>
      </c>
      <c r="Q37" s="57">
        <v>18.446999999999999</v>
      </c>
      <c r="R37" s="57">
        <v>19.751000000000001</v>
      </c>
      <c r="S37" s="57">
        <v>19.187999999999999</v>
      </c>
      <c r="T37" s="57">
        <v>20.170999999999999</v>
      </c>
      <c r="U37" s="57">
        <v>21.317</v>
      </c>
      <c r="V37" s="57">
        <v>21.594000000000001</v>
      </c>
      <c r="W37" s="57">
        <v>23.135999999999999</v>
      </c>
      <c r="X37" s="57">
        <v>20.91</v>
      </c>
      <c r="Y37" s="57">
        <v>21.385000000000002</v>
      </c>
      <c r="Z37" s="57">
        <v>21.338000000000001</v>
      </c>
      <c r="AA37" s="57">
        <v>21.463000000000001</v>
      </c>
      <c r="AB37" s="163">
        <v>21.399000000000001</v>
      </c>
      <c r="AC37" s="175">
        <f t="shared" si="2"/>
        <v>-0.29818757862368273</v>
      </c>
      <c r="AD37" s="17" t="s">
        <v>33</v>
      </c>
    </row>
    <row r="38" spans="1:30" ht="12.75" customHeight="1" x14ac:dyDescent="0.2">
      <c r="A38" s="15"/>
      <c r="B38" s="215" t="s">
        <v>65</v>
      </c>
      <c r="C38" s="224">
        <v>9.1106999999999996</v>
      </c>
      <c r="D38" s="198">
        <v>8.9961000000000002</v>
      </c>
      <c r="E38" s="198">
        <v>9.1339000000000006</v>
      </c>
      <c r="F38" s="198">
        <v>9.5456000000000003</v>
      </c>
      <c r="G38" s="198">
        <v>9.5649999999999995</v>
      </c>
      <c r="H38" s="198">
        <v>9.7912999999999997</v>
      </c>
      <c r="I38" s="198">
        <v>9.5617999999999999</v>
      </c>
      <c r="J38" s="198">
        <v>9.8147000000000002</v>
      </c>
      <c r="K38" s="198">
        <v>9.8916000000000004</v>
      </c>
      <c r="L38" s="198">
        <v>10.126178484062402</v>
      </c>
      <c r="M38" s="198">
        <v>10.198044499594255</v>
      </c>
      <c r="N38" s="198">
        <v>10.43279130775176</v>
      </c>
      <c r="O38" s="196">
        <v>10.794153844901221</v>
      </c>
      <c r="P38" s="198">
        <v>13.911</v>
      </c>
      <c r="Q38" s="198">
        <v>13.173999999999999</v>
      </c>
      <c r="R38" s="198">
        <v>13.237</v>
      </c>
      <c r="S38" s="198">
        <v>13.567</v>
      </c>
      <c r="T38" s="198">
        <v>12.965999999999999</v>
      </c>
      <c r="U38" s="198">
        <v>12.817</v>
      </c>
      <c r="V38" s="198">
        <v>13.067</v>
      </c>
      <c r="W38" s="198">
        <v>12.441000000000001</v>
      </c>
      <c r="X38" s="198">
        <v>12.134</v>
      </c>
      <c r="Y38" s="198">
        <v>11.946999999999999</v>
      </c>
      <c r="Z38" s="198">
        <v>12.5</v>
      </c>
      <c r="AA38" s="198">
        <v>12.398999999999999</v>
      </c>
      <c r="AB38" s="206">
        <v>12.486000000000001</v>
      </c>
      <c r="AC38" s="341">
        <f t="shared" si="2"/>
        <v>0.70166948947496621</v>
      </c>
      <c r="AD38" s="215" t="s">
        <v>65</v>
      </c>
    </row>
    <row r="39" spans="1:30" ht="12.75" customHeight="1" x14ac:dyDescent="0.2">
      <c r="A39" s="15"/>
      <c r="B39" s="17" t="s">
        <v>96</v>
      </c>
      <c r="C39" s="114"/>
      <c r="D39" s="57"/>
      <c r="E39" s="57"/>
      <c r="F39" s="57"/>
      <c r="G39" s="57"/>
      <c r="H39" s="57"/>
      <c r="I39" s="57">
        <v>7.8E-2</v>
      </c>
      <c r="J39" s="57">
        <v>7.0999999999999994E-2</v>
      </c>
      <c r="K39" s="57">
        <v>7.0999999999999994E-2</v>
      </c>
      <c r="L39" s="57">
        <v>6.5000000000000002E-2</v>
      </c>
      <c r="M39" s="57">
        <v>6.0999999999999999E-2</v>
      </c>
      <c r="N39" s="57">
        <v>7.2999999999999995E-2</v>
      </c>
      <c r="O39" s="57">
        <v>9.1999999999999998E-2</v>
      </c>
      <c r="P39" s="57">
        <v>0.13700000000000001</v>
      </c>
      <c r="Q39" s="57">
        <v>0.17899999999999999</v>
      </c>
      <c r="R39" s="57">
        <v>0.16700000000000001</v>
      </c>
      <c r="S39" s="57">
        <v>0.10199999999999999</v>
      </c>
      <c r="T39" s="57">
        <v>7.5999999999999998E-2</v>
      </c>
      <c r="U39" s="57">
        <v>6.7000000000000004E-2</v>
      </c>
      <c r="V39" s="57">
        <v>0.122</v>
      </c>
      <c r="W39" s="423">
        <v>0.13971700000000001</v>
      </c>
      <c r="X39" s="423">
        <v>0.12</v>
      </c>
      <c r="Y39" s="423">
        <v>0.10299999999999999</v>
      </c>
      <c r="Z39" s="423">
        <v>7.8E-2</v>
      </c>
      <c r="AA39" s="510">
        <v>8.1000000000000003E-2</v>
      </c>
      <c r="AB39" s="512">
        <v>9.0999999999999998E-2</v>
      </c>
      <c r="AC39" s="175">
        <f>AB39/AA39*100-100</f>
        <v>12.34567901234567</v>
      </c>
      <c r="AD39" s="17" t="s">
        <v>96</v>
      </c>
    </row>
    <row r="40" spans="1:30" ht="12.75" customHeight="1" x14ac:dyDescent="0.2">
      <c r="A40" s="15"/>
      <c r="B40" s="193" t="s">
        <v>2</v>
      </c>
      <c r="C40" s="205" t="s">
        <v>34</v>
      </c>
      <c r="D40" s="195" t="s">
        <v>34</v>
      </c>
      <c r="E40" s="195" t="s">
        <v>34</v>
      </c>
      <c r="F40" s="195" t="s">
        <v>34</v>
      </c>
      <c r="G40" s="195"/>
      <c r="H40" s="195"/>
      <c r="I40" s="195">
        <v>3.1309999999999998</v>
      </c>
      <c r="J40" s="195">
        <v>4</v>
      </c>
      <c r="K40" s="195">
        <v>5.4509999999999996</v>
      </c>
      <c r="L40" s="195">
        <v>5.3410000000000002</v>
      </c>
      <c r="M40" s="195">
        <v>5.577</v>
      </c>
      <c r="N40" s="195">
        <v>8.2989999999999995</v>
      </c>
      <c r="O40" s="195">
        <v>5.9379999999999997</v>
      </c>
      <c r="P40" s="195">
        <v>3.9780000000000002</v>
      </c>
      <c r="Q40" s="195">
        <v>4.0350000000000001</v>
      </c>
      <c r="R40" s="195">
        <v>4.2350000000000003</v>
      </c>
      <c r="S40" s="195">
        <v>5.3810000000000002</v>
      </c>
      <c r="T40" s="195">
        <v>5.8019999999999996</v>
      </c>
      <c r="U40" s="195">
        <v>5.1449999999999996</v>
      </c>
      <c r="V40" s="424">
        <v>10.621</v>
      </c>
      <c r="W40" s="195">
        <v>10.19</v>
      </c>
      <c r="X40" s="195">
        <v>10.589</v>
      </c>
      <c r="Y40" s="195">
        <v>10.851000000000001</v>
      </c>
      <c r="Z40" s="195">
        <v>10.637</v>
      </c>
      <c r="AA40" s="195">
        <f>10.267</f>
        <v>10.266999999999999</v>
      </c>
      <c r="AB40" s="206">
        <f>10644/1000</f>
        <v>10.644</v>
      </c>
      <c r="AC40" s="422">
        <f>AB40/AA40*100-100</f>
        <v>3.6719587026395288</v>
      </c>
      <c r="AD40" s="193" t="s">
        <v>2</v>
      </c>
    </row>
    <row r="41" spans="1:30" ht="12.75" customHeight="1" x14ac:dyDescent="0.2">
      <c r="A41" s="15"/>
      <c r="B41" s="17" t="s">
        <v>100</v>
      </c>
      <c r="C41" s="153">
        <v>2.077</v>
      </c>
      <c r="D41" s="154">
        <v>2.2480000000000002</v>
      </c>
      <c r="E41" s="154">
        <v>1.34</v>
      </c>
      <c r="F41" s="154">
        <v>1.83</v>
      </c>
      <c r="G41" s="154">
        <v>2.0110000000000001</v>
      </c>
      <c r="H41" s="154">
        <v>2.1640000000000001</v>
      </c>
      <c r="I41" s="154">
        <v>2.2309999999999999</v>
      </c>
      <c r="J41" s="154">
        <v>2.3519999999999999</v>
      </c>
      <c r="K41" s="154">
        <v>2.5299999999999998</v>
      </c>
      <c r="L41" s="154">
        <v>2.798</v>
      </c>
      <c r="M41" s="154">
        <v>3.21</v>
      </c>
      <c r="N41" s="154">
        <v>3.306</v>
      </c>
      <c r="O41" s="154">
        <v>3.5840000000000001</v>
      </c>
      <c r="P41" s="154">
        <v>4.0979999999999999</v>
      </c>
      <c r="Q41" s="154">
        <v>4.4450000000000003</v>
      </c>
      <c r="R41" s="154">
        <v>4.6260000000000003</v>
      </c>
      <c r="S41" s="154">
        <v>3.8050000000000002</v>
      </c>
      <c r="T41" s="154">
        <v>3.2229999999999999</v>
      </c>
      <c r="U41" s="154">
        <v>3.4969999999999999</v>
      </c>
      <c r="V41" s="141">
        <f>AVERAGE(S41:U41)</f>
        <v>3.5083333333333333</v>
      </c>
      <c r="W41" s="141">
        <f>AVERAGE(T41:V41)</f>
        <v>3.4094444444444445</v>
      </c>
      <c r="X41" s="141">
        <f>AVERAGE(U41:W41)</f>
        <v>3.4715925925925926</v>
      </c>
      <c r="Y41" s="141">
        <f>AVERAGE(V41:X41)</f>
        <v>3.4631234567901235</v>
      </c>
      <c r="Z41" s="141">
        <f>AVERAGE(V41:X41)</f>
        <v>3.4631234567901235</v>
      </c>
      <c r="AA41" s="141">
        <f>AVERAGE(X41:Z41)</f>
        <v>3.4659465020576135</v>
      </c>
      <c r="AB41" s="141">
        <f>AVERAGE(Y41:AA41)</f>
        <v>3.4640644718792868</v>
      </c>
      <c r="AC41" s="175">
        <f>AB41/AA41*100-100</f>
        <v>-5.4300612465013387E-2</v>
      </c>
      <c r="AD41" s="17" t="s">
        <v>100</v>
      </c>
    </row>
    <row r="42" spans="1:30" ht="12.75" customHeight="1" x14ac:dyDescent="0.2">
      <c r="A42" s="15"/>
      <c r="B42" s="193" t="s">
        <v>97</v>
      </c>
      <c r="C42" s="205"/>
      <c r="D42" s="195"/>
      <c r="E42" s="195">
        <v>0.96799999999999997</v>
      </c>
      <c r="F42" s="195">
        <v>0.875</v>
      </c>
      <c r="G42" s="195">
        <v>0.55200000000000005</v>
      </c>
      <c r="H42" s="195">
        <v>0.58199999999999996</v>
      </c>
      <c r="I42" s="195">
        <v>0.47499999999999998</v>
      </c>
      <c r="J42" s="195">
        <v>0.45900000000000002</v>
      </c>
      <c r="K42" s="195">
        <v>0.45200000000000001</v>
      </c>
      <c r="L42" s="195">
        <v>0.27700000000000002</v>
      </c>
      <c r="M42" s="195">
        <v>0.68</v>
      </c>
      <c r="N42" s="195">
        <v>0.79800000000000004</v>
      </c>
      <c r="O42" s="195">
        <v>1.161</v>
      </c>
      <c r="P42" s="195">
        <v>1.1120000000000001</v>
      </c>
      <c r="Q42" s="195">
        <v>1.1850000000000001</v>
      </c>
      <c r="R42" s="195">
        <v>1.6890000000000001</v>
      </c>
      <c r="S42" s="195">
        <v>1.907</v>
      </c>
      <c r="T42" s="195">
        <v>2.4740000000000002</v>
      </c>
      <c r="U42" s="195">
        <v>2.8239999999999998</v>
      </c>
      <c r="V42" s="195">
        <v>2.9590000000000001</v>
      </c>
      <c r="W42" s="195">
        <v>2.9729999999999999</v>
      </c>
      <c r="X42" s="195">
        <v>4.2990000000000004</v>
      </c>
      <c r="Y42" s="195">
        <v>4.9800000000000004</v>
      </c>
      <c r="Z42" s="197">
        <f>6443/1000</f>
        <v>6.4429999999999996</v>
      </c>
      <c r="AA42" s="197">
        <v>8.1750000000000007</v>
      </c>
      <c r="AB42" s="218">
        <f>7741/1000</f>
        <v>7.7409999999999997</v>
      </c>
      <c r="AC42" s="422">
        <f>AB42/AA42*100-100</f>
        <v>-5.3088685015290622</v>
      </c>
      <c r="AD42" s="193" t="s">
        <v>97</v>
      </c>
    </row>
    <row r="43" spans="1:30" ht="12.75" customHeight="1" x14ac:dyDescent="0.2">
      <c r="A43" s="15"/>
      <c r="B43" s="18" t="s">
        <v>66</v>
      </c>
      <c r="C43" s="115">
        <v>112.5</v>
      </c>
      <c r="D43" s="58">
        <v>135.80000000000001</v>
      </c>
      <c r="E43" s="58">
        <v>139.80000000000001</v>
      </c>
      <c r="F43" s="58">
        <v>152.21</v>
      </c>
      <c r="G43" s="58">
        <v>150.97399999999999</v>
      </c>
      <c r="H43" s="58">
        <v>161.55199999999999</v>
      </c>
      <c r="I43" s="58">
        <v>151.42099999999999</v>
      </c>
      <c r="J43" s="58">
        <v>150.91200000000001</v>
      </c>
      <c r="K43" s="58">
        <v>152.16300000000001</v>
      </c>
      <c r="L43" s="58">
        <v>156.85300000000001</v>
      </c>
      <c r="M43" s="58">
        <v>166.83099999999999</v>
      </c>
      <c r="N43" s="58">
        <v>177.399</v>
      </c>
      <c r="O43" s="58">
        <v>181.33</v>
      </c>
      <c r="P43" s="58">
        <v>181.935</v>
      </c>
      <c r="Q43" s="58">
        <v>176.45500000000001</v>
      </c>
      <c r="R43" s="58">
        <v>190.36500000000001</v>
      </c>
      <c r="S43" s="58">
        <v>203.072</v>
      </c>
      <c r="T43" s="58">
        <f>road_by_nat!T43</f>
        <v>216.12299999999999</v>
      </c>
      <c r="U43" s="58">
        <v>224.048</v>
      </c>
      <c r="V43" s="58">
        <v>234.49199999999999</v>
      </c>
      <c r="W43" s="58">
        <v>244.32900000000001</v>
      </c>
      <c r="X43" s="58">
        <v>253.13900000000001</v>
      </c>
      <c r="Y43" s="58">
        <v>262.8</v>
      </c>
      <c r="Z43" s="58">
        <v>266.50200000000001</v>
      </c>
      <c r="AA43" s="58">
        <f>267579/1000</f>
        <v>267.57900000000001</v>
      </c>
      <c r="AB43" s="272">
        <f>272913/1000</f>
        <v>272.91300000000001</v>
      </c>
      <c r="AC43" s="348">
        <f>AB43/AA43*100-100</f>
        <v>1.9934299776888338</v>
      </c>
      <c r="AD43" s="18" t="s">
        <v>66</v>
      </c>
    </row>
    <row r="44" spans="1:30" ht="12.75" customHeight="1" x14ac:dyDescent="0.2">
      <c r="A44" s="15"/>
      <c r="B44" s="89" t="s">
        <v>21</v>
      </c>
      <c r="C44" s="164">
        <v>161.5</v>
      </c>
      <c r="D44" s="165">
        <v>166.2</v>
      </c>
      <c r="E44" s="165">
        <v>169.2</v>
      </c>
      <c r="F44" s="165">
        <v>172</v>
      </c>
      <c r="G44" s="165">
        <v>166.26</v>
      </c>
      <c r="H44" s="165">
        <v>165.62100000000001</v>
      </c>
      <c r="I44" s="165">
        <v>163.26400000000001</v>
      </c>
      <c r="J44" s="165">
        <v>164.035</v>
      </c>
      <c r="K44" s="165">
        <v>167.143</v>
      </c>
      <c r="L44" s="165">
        <v>162.654</v>
      </c>
      <c r="M44" s="165">
        <v>161.285</v>
      </c>
      <c r="N44" s="165">
        <v>165.47900000000001</v>
      </c>
      <c r="O44" s="165">
        <v>170.99100000000001</v>
      </c>
      <c r="P44" s="165">
        <v>160.29599999999999</v>
      </c>
      <c r="Q44" s="165">
        <v>139.536</v>
      </c>
      <c r="R44" s="165">
        <v>146.685</v>
      </c>
      <c r="S44" s="182">
        <v>148.733</v>
      </c>
      <c r="T44" s="182">
        <v>150.94900000000001</v>
      </c>
      <c r="U44" s="182">
        <v>139.703</v>
      </c>
      <c r="V44" s="182">
        <v>135.393</v>
      </c>
      <c r="W44" s="182">
        <v>150.101</v>
      </c>
      <c r="X44" s="182">
        <v>155.042</v>
      </c>
      <c r="Y44" s="182">
        <v>153.93899999999999</v>
      </c>
      <c r="Z44" s="182">
        <v>159.28200000000001</v>
      </c>
      <c r="AA44" s="182">
        <v>160.83099999999999</v>
      </c>
      <c r="AB44" s="177"/>
      <c r="AC44" s="433"/>
      <c r="AD44" s="89" t="s">
        <v>21</v>
      </c>
    </row>
    <row r="45" spans="1:30" ht="6" customHeight="1" x14ac:dyDescent="0.2">
      <c r="A45" s="15"/>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345"/>
      <c r="AD45" s="236"/>
    </row>
    <row r="46" spans="1:30" ht="12.75" customHeight="1" x14ac:dyDescent="0.2">
      <c r="A46" s="15"/>
      <c r="B46" s="284" t="s">
        <v>150</v>
      </c>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346"/>
      <c r="AD46" s="253"/>
    </row>
    <row r="47" spans="1:30" ht="15.75" customHeight="1" x14ac:dyDescent="0.2">
      <c r="B47" s="129" t="s">
        <v>138</v>
      </c>
    </row>
    <row r="48" spans="1:30" ht="12.75" customHeight="1" x14ac:dyDescent="0.2">
      <c r="B48" s="3" t="s">
        <v>70</v>
      </c>
    </row>
    <row r="49" spans="2:30" ht="12.75" customHeight="1" x14ac:dyDescent="0.2">
      <c r="B49" s="92" t="s">
        <v>72</v>
      </c>
    </row>
    <row r="50" spans="2:30" x14ac:dyDescent="0.2">
      <c r="B50" s="172" t="s">
        <v>118</v>
      </c>
      <c r="C50" s="91"/>
      <c r="D50" s="91"/>
      <c r="E50" s="91"/>
      <c r="F50" s="91"/>
      <c r="G50" s="91"/>
      <c r="H50" s="91"/>
      <c r="I50" s="91"/>
      <c r="J50" s="91"/>
      <c r="K50" s="91"/>
      <c r="L50" s="91"/>
      <c r="M50" s="91"/>
      <c r="AC50" s="401"/>
    </row>
    <row r="51" spans="2:30" ht="12.75" customHeight="1" x14ac:dyDescent="0.2">
      <c r="B51" s="288" t="s">
        <v>119</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347"/>
      <c r="AD51" s="133"/>
    </row>
  </sheetData>
  <mergeCells count="3">
    <mergeCell ref="B2:AD2"/>
    <mergeCell ref="B3:AD3"/>
    <mergeCell ref="Z4:AB4"/>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U49"/>
  <sheetViews>
    <sheetView topLeftCell="M25" workbookViewId="0">
      <selection activeCell="W11" sqref="W11"/>
    </sheetView>
  </sheetViews>
  <sheetFormatPr defaultRowHeight="12.75" x14ac:dyDescent="0.2"/>
  <cols>
    <col min="1" max="1" width="3.7109375" customWidth="1"/>
    <col min="2" max="2" width="4.5703125" customWidth="1"/>
    <col min="3" max="3" width="7.7109375" customWidth="1"/>
    <col min="4" max="17" width="8.28515625" customWidth="1"/>
    <col min="18" max="18" width="7.42578125" customWidth="1"/>
    <col min="19" max="19" width="6" customWidth="1"/>
    <col min="20" max="20" width="6.28515625" customWidth="1"/>
    <col min="21" max="21" width="5.85546875" customWidth="1"/>
  </cols>
  <sheetData>
    <row r="1" spans="1:21" ht="14.25" customHeight="1" x14ac:dyDescent="0.2">
      <c r="B1" s="40"/>
      <c r="S1" s="6" t="s">
        <v>104</v>
      </c>
      <c r="U1" s="20"/>
    </row>
    <row r="2" spans="1:21" s="80" customFormat="1" ht="15" customHeight="1" x14ac:dyDescent="0.2">
      <c r="B2" s="546" t="s">
        <v>108</v>
      </c>
      <c r="C2" s="565"/>
      <c r="D2" s="565"/>
      <c r="E2" s="565"/>
      <c r="F2" s="565"/>
      <c r="G2" s="565"/>
      <c r="H2" s="565"/>
      <c r="I2" s="565"/>
      <c r="J2" s="565"/>
      <c r="K2" s="565"/>
      <c r="L2" s="565"/>
      <c r="M2" s="565"/>
      <c r="N2" s="565"/>
      <c r="O2" s="565"/>
      <c r="P2" s="565"/>
      <c r="Q2" s="565"/>
      <c r="R2" s="565"/>
      <c r="S2" s="565"/>
      <c r="T2" s="565"/>
      <c r="U2" s="61"/>
    </row>
    <row r="3" spans="1:21" ht="15" customHeight="1" x14ac:dyDescent="0.2">
      <c r="B3" s="566" t="s">
        <v>132</v>
      </c>
      <c r="C3" s="567"/>
      <c r="D3" s="567"/>
      <c r="E3" s="567"/>
      <c r="F3" s="567"/>
      <c r="G3" s="567"/>
      <c r="H3" s="567"/>
      <c r="I3" s="567"/>
      <c r="J3" s="567"/>
      <c r="K3" s="567"/>
      <c r="L3" s="567"/>
      <c r="M3" s="567"/>
      <c r="N3" s="567"/>
      <c r="O3" s="567"/>
      <c r="P3" s="567"/>
      <c r="Q3" s="567"/>
      <c r="R3" s="567"/>
      <c r="S3" s="567"/>
      <c r="T3" s="567"/>
      <c r="U3" s="48"/>
    </row>
    <row r="4" spans="1:21" ht="12" customHeight="1" x14ac:dyDescent="0.2">
      <c r="B4" s="4"/>
      <c r="H4" s="21"/>
      <c r="I4" s="21"/>
      <c r="J4" s="21"/>
      <c r="K4" s="21"/>
      <c r="L4" s="21"/>
      <c r="M4" s="21"/>
      <c r="O4" s="178"/>
      <c r="P4" s="581" t="s">
        <v>95</v>
      </c>
      <c r="Q4" s="581"/>
      <c r="R4" s="581"/>
      <c r="S4" s="21"/>
      <c r="T4" s="6"/>
    </row>
    <row r="5" spans="1:21" ht="20.100000000000001" customHeight="1" x14ac:dyDescent="0.2">
      <c r="B5" s="4"/>
      <c r="C5" s="84">
        <v>2005</v>
      </c>
      <c r="D5" s="85">
        <v>2006</v>
      </c>
      <c r="E5" s="85">
        <v>2007</v>
      </c>
      <c r="F5" s="85">
        <v>2008</v>
      </c>
      <c r="G5" s="85">
        <v>2009</v>
      </c>
      <c r="H5" s="85">
        <v>2010</v>
      </c>
      <c r="I5" s="85">
        <v>2011</v>
      </c>
      <c r="J5" s="85">
        <v>2012</v>
      </c>
      <c r="K5" s="85">
        <v>2013</v>
      </c>
      <c r="L5" s="85">
        <v>2014</v>
      </c>
      <c r="M5" s="85">
        <v>2015</v>
      </c>
      <c r="N5" s="85">
        <v>2016</v>
      </c>
      <c r="O5" s="85">
        <v>2017</v>
      </c>
      <c r="P5" s="85">
        <v>2018</v>
      </c>
      <c r="Q5" s="85">
        <v>2019</v>
      </c>
      <c r="R5" s="85">
        <v>2020</v>
      </c>
      <c r="S5" s="99" t="s">
        <v>146</v>
      </c>
      <c r="T5" s="62"/>
      <c r="U5" s="62"/>
    </row>
    <row r="6" spans="1:21" ht="9.9499999999999993" customHeight="1" x14ac:dyDescent="0.2">
      <c r="B6" s="4"/>
      <c r="C6" s="86"/>
      <c r="D6" s="83"/>
      <c r="E6" s="83"/>
      <c r="F6" s="83"/>
      <c r="G6" s="83"/>
      <c r="H6" s="83"/>
      <c r="I6" s="83"/>
      <c r="J6" s="83"/>
      <c r="K6" s="83"/>
      <c r="L6" s="83"/>
      <c r="M6" s="83"/>
      <c r="N6" s="83"/>
      <c r="O6" s="83"/>
      <c r="P6" s="83"/>
      <c r="Q6" s="83"/>
      <c r="R6" s="83"/>
      <c r="S6" s="69" t="s">
        <v>63</v>
      </c>
      <c r="T6" s="64"/>
      <c r="U6" s="62"/>
    </row>
    <row r="7" spans="1:21" ht="12.75" customHeight="1" x14ac:dyDescent="0.2">
      <c r="B7" s="279" t="s">
        <v>112</v>
      </c>
      <c r="C7" s="289">
        <f>SUM(C9:C35)</f>
        <v>1588.1540655743293</v>
      </c>
      <c r="D7" s="289">
        <f>SUM(D9:D35)</f>
        <v>1638.7945822386714</v>
      </c>
      <c r="E7" s="289">
        <f>SUM(E9:E35)</f>
        <v>1697.6440389755346</v>
      </c>
      <c r="F7" s="289">
        <f t="shared" ref="F7:O7" si="0">SUM(F9:F35)</f>
        <v>1676.4616408826394</v>
      </c>
      <c r="G7" s="289">
        <f t="shared" si="0"/>
        <v>1515.3165860635595</v>
      </c>
      <c r="H7" s="289">
        <f t="shared" si="0"/>
        <v>1558.2925344262567</v>
      </c>
      <c r="I7" s="289">
        <f t="shared" si="0"/>
        <v>1541.6311993737638</v>
      </c>
      <c r="J7" s="289">
        <f t="shared" si="0"/>
        <v>1481.6904120467425</v>
      </c>
      <c r="K7" s="289">
        <f t="shared" si="0"/>
        <v>1516.3640398284499</v>
      </c>
      <c r="L7" s="289">
        <f t="shared" si="0"/>
        <v>1527.4346235799926</v>
      </c>
      <c r="M7" s="289">
        <f t="shared" si="0"/>
        <v>1561.9876827709111</v>
      </c>
      <c r="N7" s="289">
        <f t="shared" si="0"/>
        <v>1619.7477300951773</v>
      </c>
      <c r="O7" s="289">
        <f t="shared" si="0"/>
        <v>1707.3138634168388</v>
      </c>
      <c r="P7" s="289">
        <v>1707.4960000000001</v>
      </c>
      <c r="Q7" s="289">
        <v>1764.787</v>
      </c>
      <c r="R7" s="420">
        <v>1744.9860000000001</v>
      </c>
      <c r="S7" s="463">
        <f>R7/Q7*100-100</f>
        <v>-1.1220050918326052</v>
      </c>
      <c r="T7" s="279" t="s">
        <v>112</v>
      </c>
      <c r="U7" s="214"/>
    </row>
    <row r="8" spans="1:21" ht="12.75" customHeight="1" x14ac:dyDescent="0.2">
      <c r="A8" s="15"/>
      <c r="B8" s="279" t="s">
        <v>99</v>
      </c>
      <c r="C8" s="289">
        <f t="shared" ref="C8:Q8" si="1">C7+C44</f>
        <v>1755.4521895434887</v>
      </c>
      <c r="D8" s="289">
        <f t="shared" si="1"/>
        <v>1810.2923511235158</v>
      </c>
      <c r="E8" s="289">
        <f t="shared" si="1"/>
        <v>1875.7786419145309</v>
      </c>
      <c r="F8" s="289">
        <f t="shared" si="1"/>
        <v>1844.1198571687864</v>
      </c>
      <c r="G8" s="289">
        <f t="shared" si="1"/>
        <v>1660.3209960354313</v>
      </c>
      <c r="H8" s="289">
        <f t="shared" si="1"/>
        <v>1709.8018032430837</v>
      </c>
      <c r="I8" s="289">
        <f t="shared" si="1"/>
        <v>1694.4002642440403</v>
      </c>
      <c r="J8" s="289">
        <f t="shared" si="1"/>
        <v>1637.6033168484698</v>
      </c>
      <c r="K8" s="289">
        <f t="shared" si="1"/>
        <v>1660.9966474973749</v>
      </c>
      <c r="L8" s="289">
        <f t="shared" si="1"/>
        <v>1669.1140732092965</v>
      </c>
      <c r="M8" s="289">
        <f t="shared" si="1"/>
        <v>1719.2012286051272</v>
      </c>
      <c r="N8" s="289">
        <f t="shared" si="1"/>
        <v>1783.725895966701</v>
      </c>
      <c r="O8" s="289">
        <f t="shared" si="1"/>
        <v>1869.0385970777279</v>
      </c>
      <c r="P8" s="289">
        <f t="shared" si="1"/>
        <v>1872.8601152105512</v>
      </c>
      <c r="Q8" s="289">
        <f t="shared" si="1"/>
        <v>1932.8908702155043</v>
      </c>
      <c r="R8" s="420"/>
      <c r="S8" s="464"/>
      <c r="T8" s="279" t="s">
        <v>99</v>
      </c>
      <c r="U8" s="214"/>
    </row>
    <row r="9" spans="1:21" ht="12.75" customHeight="1" x14ac:dyDescent="0.2">
      <c r="A9" s="15"/>
      <c r="B9" s="17" t="s">
        <v>22</v>
      </c>
      <c r="C9" s="148">
        <v>46.763014045659183</v>
      </c>
      <c r="D9" s="148">
        <v>47.963910197433698</v>
      </c>
      <c r="E9" s="148">
        <v>49.05179900580638</v>
      </c>
      <c r="F9" s="148">
        <v>47.058469513292096</v>
      </c>
      <c r="G9" s="148">
        <v>44.42591767204744</v>
      </c>
      <c r="H9" s="148">
        <v>45.630946980216287</v>
      </c>
      <c r="I9" s="148">
        <v>45.567818510325395</v>
      </c>
      <c r="J9" s="148">
        <v>45.849215594985679</v>
      </c>
      <c r="K9" s="148">
        <v>47.597470067830429</v>
      </c>
      <c r="L9" s="148">
        <v>47.951368608799811</v>
      </c>
      <c r="M9" s="148">
        <v>50.475109944329908</v>
      </c>
      <c r="N9" s="173">
        <v>52.334927832222299</v>
      </c>
      <c r="O9" s="148">
        <v>52.141982515231632</v>
      </c>
      <c r="P9" s="148">
        <v>50.918999999999997</v>
      </c>
      <c r="Q9" s="148">
        <v>52.436999999999998</v>
      </c>
      <c r="R9" s="184">
        <v>51.902000000000001</v>
      </c>
      <c r="S9" s="465">
        <f t="shared" ref="S9:S35" si="2">R9/Q9*100-100</f>
        <v>-1.0202719453820634</v>
      </c>
      <c r="T9" s="17" t="s">
        <v>22</v>
      </c>
      <c r="U9" s="214"/>
    </row>
    <row r="10" spans="1:21" ht="12.75" customHeight="1" x14ac:dyDescent="0.2">
      <c r="A10" s="15"/>
      <c r="B10" s="88" t="s">
        <v>5</v>
      </c>
      <c r="C10" s="151">
        <v>11.007035810527396</v>
      </c>
      <c r="D10" s="151">
        <v>10.972872576275181</v>
      </c>
      <c r="E10" s="151">
        <v>10.439787754898461</v>
      </c>
      <c r="F10" s="151">
        <v>9.768980578108053</v>
      </c>
      <c r="G10" s="151">
        <v>8.7465351270823106</v>
      </c>
      <c r="H10" s="151">
        <v>8.8941473866294007</v>
      </c>
      <c r="I10" s="151">
        <v>9.7291795574239703</v>
      </c>
      <c r="J10" s="151">
        <v>9.2672677197473412</v>
      </c>
      <c r="K10" s="151">
        <v>10.955057214037225</v>
      </c>
      <c r="L10" s="151">
        <v>10.342981147523485</v>
      </c>
      <c r="M10" s="151">
        <v>11.17881401918992</v>
      </c>
      <c r="N10" s="151">
        <v>11.17439999737501</v>
      </c>
      <c r="O10" s="151">
        <v>12.035847741418761</v>
      </c>
      <c r="P10" s="151">
        <v>11.143000000000001</v>
      </c>
      <c r="Q10" s="151">
        <v>8.7059999999999995</v>
      </c>
      <c r="R10" s="152">
        <v>11.005000000000001</v>
      </c>
      <c r="S10" s="466">
        <f t="shared" si="2"/>
        <v>26.40707558005974</v>
      </c>
      <c r="T10" s="88" t="s">
        <v>5</v>
      </c>
      <c r="U10" s="214"/>
    </row>
    <row r="11" spans="1:21" ht="12.75" customHeight="1" x14ac:dyDescent="0.2">
      <c r="A11" s="15"/>
      <c r="B11" s="17" t="s">
        <v>7</v>
      </c>
      <c r="C11" s="154">
        <v>32.288744390890884</v>
      </c>
      <c r="D11" s="154">
        <v>33.697465023117374</v>
      </c>
      <c r="E11" s="154">
        <v>33.984590250888957</v>
      </c>
      <c r="F11" s="154">
        <v>32.558348109780937</v>
      </c>
      <c r="G11" s="154">
        <v>29.159244054916382</v>
      </c>
      <c r="H11" s="154">
        <v>31.979649503595233</v>
      </c>
      <c r="I11" s="154">
        <v>33.162197746669882</v>
      </c>
      <c r="J11" s="154">
        <v>32.462423124963493</v>
      </c>
      <c r="K11" s="154">
        <v>35.408702291282921</v>
      </c>
      <c r="L11" s="154">
        <v>37.006453438367203</v>
      </c>
      <c r="M11" s="154">
        <v>42.673603793811331</v>
      </c>
      <c r="N11" s="154">
        <v>43.313230000595709</v>
      </c>
      <c r="O11" s="154">
        <v>43.074044073474894</v>
      </c>
      <c r="P11" s="154">
        <v>43.448999999999998</v>
      </c>
      <c r="Q11" s="154">
        <v>45.649000000000001</v>
      </c>
      <c r="R11" s="174">
        <v>51.71</v>
      </c>
      <c r="S11" s="379">
        <f t="shared" si="2"/>
        <v>13.277399285855125</v>
      </c>
      <c r="T11" s="17" t="s">
        <v>7</v>
      </c>
      <c r="U11" s="214"/>
    </row>
    <row r="12" spans="1:21" ht="12.75" customHeight="1" x14ac:dyDescent="0.2">
      <c r="A12" s="15"/>
      <c r="B12" s="88" t="s">
        <v>18</v>
      </c>
      <c r="C12" s="151">
        <v>16.786513223591253</v>
      </c>
      <c r="D12" s="151">
        <v>17.692258729141255</v>
      </c>
      <c r="E12" s="151">
        <v>18.387594020981314</v>
      </c>
      <c r="F12" s="151">
        <v>18.91441807897732</v>
      </c>
      <c r="G12" s="151">
        <v>16.915748243820389</v>
      </c>
      <c r="H12" s="151">
        <v>17.243749269546619</v>
      </c>
      <c r="I12" s="151">
        <v>18.438395166590464</v>
      </c>
      <c r="J12" s="151">
        <v>18.571037617626171</v>
      </c>
      <c r="K12" s="151">
        <v>19.296721203207024</v>
      </c>
      <c r="L12" s="151">
        <v>19.517265790013017</v>
      </c>
      <c r="M12" s="151">
        <v>19.128622625910943</v>
      </c>
      <c r="N12" s="151">
        <v>20.598863081338418</v>
      </c>
      <c r="O12" s="151">
        <v>20.352101420361723</v>
      </c>
      <c r="P12" s="151">
        <v>19.306000000000001</v>
      </c>
      <c r="Q12" s="151">
        <v>19.460999999999999</v>
      </c>
      <c r="R12" s="152">
        <v>20.210999999999999</v>
      </c>
      <c r="S12" s="466">
        <f t="shared" si="2"/>
        <v>3.8538615692924338</v>
      </c>
      <c r="T12" s="88" t="s">
        <v>18</v>
      </c>
      <c r="U12" s="214"/>
    </row>
    <row r="13" spans="1:21" ht="12.75" customHeight="1" x14ac:dyDescent="0.2">
      <c r="A13" s="15"/>
      <c r="B13" s="17" t="s">
        <v>23</v>
      </c>
      <c r="C13" s="154">
        <v>370.79611532682497</v>
      </c>
      <c r="D13" s="154">
        <v>394.4637780630344</v>
      </c>
      <c r="E13" s="154">
        <v>413.15934772379165</v>
      </c>
      <c r="F13" s="154">
        <v>419.98022530633915</v>
      </c>
      <c r="G13" s="154">
        <v>385.29438178325245</v>
      </c>
      <c r="H13" s="154">
        <v>404.91844653132574</v>
      </c>
      <c r="I13" s="154">
        <v>417.56680148009582</v>
      </c>
      <c r="J13" s="154">
        <v>408.24934363709872</v>
      </c>
      <c r="K13" s="154">
        <v>416.58011557540999</v>
      </c>
      <c r="L13" s="154">
        <v>426.90867609510144</v>
      </c>
      <c r="M13" s="154">
        <v>433.09730988167325</v>
      </c>
      <c r="N13" s="154">
        <v>447.19334384124119</v>
      </c>
      <c r="O13" s="154">
        <v>463.02016952996769</v>
      </c>
      <c r="P13" s="154">
        <v>458.57100000000003</v>
      </c>
      <c r="Q13" s="154">
        <v>469.29300000000001</v>
      </c>
      <c r="R13" s="174">
        <v>466.46499999999997</v>
      </c>
      <c r="S13" s="379">
        <f t="shared" si="2"/>
        <v>-0.6026086048588013</v>
      </c>
      <c r="T13" s="17" t="s">
        <v>23</v>
      </c>
      <c r="U13" s="214"/>
    </row>
    <row r="14" spans="1:21" ht="12.75" customHeight="1" x14ac:dyDescent="0.2">
      <c r="A14" s="15"/>
      <c r="B14" s="88" t="s">
        <v>8</v>
      </c>
      <c r="C14" s="156">
        <v>2.670218256504957</v>
      </c>
      <c r="D14" s="156">
        <v>2.869056913484314</v>
      </c>
      <c r="E14" s="156">
        <v>2.9354882647712865</v>
      </c>
      <c r="F14" s="156">
        <v>2.7715629772013086</v>
      </c>
      <c r="G14" s="156">
        <v>2.0761908485298957</v>
      </c>
      <c r="H14" s="156">
        <v>2.1707540736261453</v>
      </c>
      <c r="I14" s="156">
        <v>2.4813760688613411</v>
      </c>
      <c r="J14" s="156">
        <v>2.5326302330762411</v>
      </c>
      <c r="K14" s="156">
        <v>2.6890309917138522</v>
      </c>
      <c r="L14" s="156">
        <v>2.6421129128425931</v>
      </c>
      <c r="M14" s="156">
        <v>2.8361051051217756</v>
      </c>
      <c r="N14" s="156">
        <v>3.1149281194758776</v>
      </c>
      <c r="O14" s="156">
        <v>2.9125503564786106</v>
      </c>
      <c r="P14" s="156">
        <v>3.0139999999999998</v>
      </c>
      <c r="Q14" s="156">
        <v>2.9780000000000002</v>
      </c>
      <c r="R14" s="183">
        <v>2.7509999999999999</v>
      </c>
      <c r="S14" s="466">
        <f t="shared" si="2"/>
        <v>-7.622565480188058</v>
      </c>
      <c r="T14" s="88" t="s">
        <v>8</v>
      </c>
      <c r="U14" s="214"/>
    </row>
    <row r="15" spans="1:21" ht="12.75" customHeight="1" x14ac:dyDescent="0.2">
      <c r="A15" s="15"/>
      <c r="B15" s="17" t="s">
        <v>26</v>
      </c>
      <c r="C15" s="148">
        <v>15.612619075343829</v>
      </c>
      <c r="D15" s="148">
        <v>15.515330391542724</v>
      </c>
      <c r="E15" s="148">
        <v>16.246972097592554</v>
      </c>
      <c r="F15" s="148">
        <v>14.847004373113187</v>
      </c>
      <c r="G15" s="148">
        <v>9.814266919633539</v>
      </c>
      <c r="H15" s="148">
        <v>9.6558252938964202</v>
      </c>
      <c r="I15" s="148">
        <v>9.0306056411654509</v>
      </c>
      <c r="J15" s="148">
        <v>8.8170886771555406</v>
      </c>
      <c r="K15" s="148">
        <v>8.5535881199183681</v>
      </c>
      <c r="L15" s="148">
        <v>9.0115559012090944</v>
      </c>
      <c r="M15" s="148">
        <v>9.2192328228836491</v>
      </c>
      <c r="N15" s="148">
        <v>10.589506012559722</v>
      </c>
      <c r="O15" s="148">
        <v>10.610887752757121</v>
      </c>
      <c r="P15" s="148">
        <v>10.829000000000001</v>
      </c>
      <c r="Q15" s="148">
        <v>11.625999999999999</v>
      </c>
      <c r="R15" s="184">
        <v>9.6449999999999996</v>
      </c>
      <c r="S15" s="465">
        <f t="shared" si="2"/>
        <v>-17.039394460691554</v>
      </c>
      <c r="T15" s="17" t="s">
        <v>26</v>
      </c>
      <c r="U15" s="214"/>
    </row>
    <row r="16" spans="1:21" ht="12.75" customHeight="1" x14ac:dyDescent="0.2">
      <c r="A16" s="15"/>
      <c r="B16" s="88" t="s">
        <v>19</v>
      </c>
      <c r="C16" s="156">
        <v>21.916598855311484</v>
      </c>
      <c r="D16" s="156">
        <v>28.970940114922165</v>
      </c>
      <c r="E16" s="151">
        <v>24.143190174937523</v>
      </c>
      <c r="F16" s="151">
        <v>26.445160535546503</v>
      </c>
      <c r="G16" s="151">
        <v>26.075647513472227</v>
      </c>
      <c r="H16" s="151">
        <v>27.645544661844863</v>
      </c>
      <c r="I16" s="151">
        <v>18.734846730275756</v>
      </c>
      <c r="J16" s="151">
        <v>18.62974648294</v>
      </c>
      <c r="K16" s="151">
        <v>15.187698792609384</v>
      </c>
      <c r="L16" s="151">
        <v>17.530279659674548</v>
      </c>
      <c r="M16" s="151">
        <v>17.652723082841643</v>
      </c>
      <c r="N16" s="151">
        <v>19.341888388527117</v>
      </c>
      <c r="O16" s="151">
        <v>19.717029962458312</v>
      </c>
      <c r="P16" s="151">
        <v>19.379000000000001</v>
      </c>
      <c r="Q16" s="151">
        <v>18.977</v>
      </c>
      <c r="R16" s="152">
        <v>16.783000000000001</v>
      </c>
      <c r="S16" s="466">
        <f t="shared" si="2"/>
        <v>-11.561363756125829</v>
      </c>
      <c r="T16" s="88" t="s">
        <v>19</v>
      </c>
      <c r="U16" s="214"/>
    </row>
    <row r="17" spans="1:21" ht="12.75" customHeight="1" x14ac:dyDescent="0.2">
      <c r="A17" s="15"/>
      <c r="B17" s="17" t="s">
        <v>24</v>
      </c>
      <c r="C17" s="161">
        <v>210.72119561327622</v>
      </c>
      <c r="D17" s="161">
        <v>220.1293027852322</v>
      </c>
      <c r="E17" s="161">
        <v>237.26616542326778</v>
      </c>
      <c r="F17" s="161">
        <v>217.319783899161</v>
      </c>
      <c r="G17" s="161">
        <v>189.43479571602757</v>
      </c>
      <c r="H17" s="161">
        <v>184.4014915288827</v>
      </c>
      <c r="I17" s="161">
        <v>179.86855247564554</v>
      </c>
      <c r="J17" s="161">
        <v>169.76957151140692</v>
      </c>
      <c r="K17" s="161">
        <v>166.11563522961055</v>
      </c>
      <c r="L17" s="161">
        <v>167.11144979536269</v>
      </c>
      <c r="M17" s="161">
        <v>177.99508268987074</v>
      </c>
      <c r="N17" s="161">
        <v>186.70061371205631</v>
      </c>
      <c r="O17" s="161">
        <v>197.95774587195447</v>
      </c>
      <c r="P17" s="161">
        <v>203.62200000000001</v>
      </c>
      <c r="Q17" s="161">
        <v>212.70500000000001</v>
      </c>
      <c r="R17" s="162">
        <v>207.45400000000001</v>
      </c>
      <c r="S17" s="465">
        <f t="shared" si="2"/>
        <v>-2.4686772760395854</v>
      </c>
      <c r="T17" s="17" t="s">
        <v>24</v>
      </c>
      <c r="U17" s="214"/>
    </row>
    <row r="18" spans="1:21" ht="12.75" customHeight="1" x14ac:dyDescent="0.2">
      <c r="A18" s="15"/>
      <c r="B18" s="88" t="s">
        <v>25</v>
      </c>
      <c r="C18" s="156">
        <v>294.53781071988692</v>
      </c>
      <c r="D18" s="156">
        <v>303.93056686590086</v>
      </c>
      <c r="E18" s="156">
        <v>315.32721576011994</v>
      </c>
      <c r="F18" s="156">
        <v>301.42667973424125</v>
      </c>
      <c r="G18" s="156">
        <v>261.74858388974764</v>
      </c>
      <c r="H18" s="156">
        <v>275.13000270342462</v>
      </c>
      <c r="I18" s="156">
        <v>273.3770401042355</v>
      </c>
      <c r="J18" s="156">
        <v>259.05725243365947</v>
      </c>
      <c r="K18" s="156">
        <v>263.73821668291089</v>
      </c>
      <c r="L18" s="156">
        <v>259.86095283024679</v>
      </c>
      <c r="M18" s="156">
        <v>251.18195955553662</v>
      </c>
      <c r="N18" s="156">
        <v>258.56341746541659</v>
      </c>
      <c r="O18" s="156">
        <v>277.83382609574682</v>
      </c>
      <c r="P18" s="156">
        <v>281.63099999999997</v>
      </c>
      <c r="Q18" s="156">
        <v>289.32900000000001</v>
      </c>
      <c r="R18" s="183">
        <v>279.98500000000001</v>
      </c>
      <c r="S18" s="466">
        <f t="shared" si="2"/>
        <v>-3.2295414562660483</v>
      </c>
      <c r="T18" s="88" t="s">
        <v>25</v>
      </c>
      <c r="U18" s="214"/>
    </row>
    <row r="19" spans="1:21" ht="12.75" customHeight="1" x14ac:dyDescent="0.2">
      <c r="A19" s="15"/>
      <c r="B19" s="17" t="s">
        <v>36</v>
      </c>
      <c r="C19" s="57">
        <v>10.483056070627628</v>
      </c>
      <c r="D19" s="57">
        <v>10.909940770981342</v>
      </c>
      <c r="E19" s="57">
        <v>11.03297977974009</v>
      </c>
      <c r="F19" s="57">
        <v>10.375046058567255</v>
      </c>
      <c r="G19" s="57">
        <v>8.4965357312965324</v>
      </c>
      <c r="H19" s="57">
        <v>7.9261240979092866</v>
      </c>
      <c r="I19" s="57">
        <v>7.7327653363939088</v>
      </c>
      <c r="J19" s="57">
        <v>7.4133645033315698</v>
      </c>
      <c r="K19" s="57">
        <v>7.6965559610878485</v>
      </c>
      <c r="L19" s="57">
        <v>7.566195616055122</v>
      </c>
      <c r="M19" s="57">
        <v>8.2194421919714156</v>
      </c>
      <c r="N19" s="57">
        <v>8.2502072088045892</v>
      </c>
      <c r="O19" s="57">
        <v>9.469843573041226</v>
      </c>
      <c r="P19" s="57">
        <v>9.5210000000000008</v>
      </c>
      <c r="Q19" s="57">
        <v>9.0340000000000007</v>
      </c>
      <c r="R19" s="163">
        <v>9.2810000000000006</v>
      </c>
      <c r="S19" s="379">
        <f t="shared" si="2"/>
        <v>2.7341155634270393</v>
      </c>
      <c r="T19" s="17" t="s">
        <v>36</v>
      </c>
      <c r="U19" s="214"/>
    </row>
    <row r="20" spans="1:21" ht="12.75" customHeight="1" x14ac:dyDescent="0.2">
      <c r="A20" s="15"/>
      <c r="B20" s="88" t="s">
        <v>27</v>
      </c>
      <c r="C20" s="151">
        <v>203.95294284383934</v>
      </c>
      <c r="D20" s="151">
        <v>190.0707919389948</v>
      </c>
      <c r="E20" s="151">
        <v>186.79745099660789</v>
      </c>
      <c r="F20" s="151">
        <v>187.5037110470505</v>
      </c>
      <c r="G20" s="151">
        <v>176.42696498971071</v>
      </c>
      <c r="H20" s="151">
        <v>183.60681268352803</v>
      </c>
      <c r="I20" s="151">
        <v>157.32085045794125</v>
      </c>
      <c r="J20" s="151">
        <v>139.46045552236427</v>
      </c>
      <c r="K20" s="151">
        <v>141.79304194107172</v>
      </c>
      <c r="L20" s="151">
        <v>133.02703381047397</v>
      </c>
      <c r="M20" s="151">
        <v>133.97003876677221</v>
      </c>
      <c r="N20" s="151">
        <v>131.69514287846371</v>
      </c>
      <c r="O20" s="151">
        <v>142.07681353460256</v>
      </c>
      <c r="P20" s="151">
        <v>146.26499999999999</v>
      </c>
      <c r="Q20" s="151">
        <v>158.30699999999999</v>
      </c>
      <c r="R20" s="152">
        <v>152.86600000000001</v>
      </c>
      <c r="S20" s="466">
        <f t="shared" si="2"/>
        <v>-3.4369926787823459</v>
      </c>
      <c r="T20" s="88" t="s">
        <v>27</v>
      </c>
      <c r="U20" s="214"/>
    </row>
    <row r="21" spans="1:21" ht="12.75" customHeight="1" x14ac:dyDescent="0.2">
      <c r="A21" s="15"/>
      <c r="B21" s="17" t="s">
        <v>6</v>
      </c>
      <c r="C21" s="57">
        <v>1.3740000000000001</v>
      </c>
      <c r="D21" s="57">
        <v>1.145</v>
      </c>
      <c r="E21" s="57">
        <v>1.1839999999999999</v>
      </c>
      <c r="F21" s="57">
        <v>1.296</v>
      </c>
      <c r="G21" s="57">
        <v>0.94399999999999995</v>
      </c>
      <c r="H21" s="57">
        <v>1.0660000000000001</v>
      </c>
      <c r="I21" s="57">
        <v>0.92300000000000004</v>
      </c>
      <c r="J21" s="57">
        <v>0.88</v>
      </c>
      <c r="K21" s="57">
        <v>0.61799999999999999</v>
      </c>
      <c r="L21" s="57">
        <v>0.52600000000000002</v>
      </c>
      <c r="M21" s="57">
        <v>0.54800000000000004</v>
      </c>
      <c r="N21" s="57">
        <v>0.68400000000000005</v>
      </c>
      <c r="O21" s="57">
        <v>0.80200000000000005</v>
      </c>
      <c r="P21" s="57">
        <v>0.86499999999999999</v>
      </c>
      <c r="Q21" s="57">
        <v>0.83099999999999996</v>
      </c>
      <c r="R21" s="163">
        <v>0.67200000000000004</v>
      </c>
      <c r="S21" s="379">
        <f t="shared" si="2"/>
        <v>-19.133574007220204</v>
      </c>
      <c r="T21" s="17" t="s">
        <v>6</v>
      </c>
      <c r="U21" s="214"/>
    </row>
    <row r="22" spans="1:21" ht="12.75" customHeight="1" x14ac:dyDescent="0.2">
      <c r="A22" s="15"/>
      <c r="B22" s="88" t="s">
        <v>10</v>
      </c>
      <c r="C22" s="151">
        <v>3.7360190296953761</v>
      </c>
      <c r="D22" s="151">
        <v>3.9484290348493487</v>
      </c>
      <c r="E22" s="151">
        <v>4.4073087578065175</v>
      </c>
      <c r="F22" s="151">
        <v>3.8857887870287251</v>
      </c>
      <c r="G22" s="151">
        <v>3.2108269453857816</v>
      </c>
      <c r="H22" s="151">
        <v>3.7423899740928328</v>
      </c>
      <c r="I22" s="151">
        <v>4.007675239415379</v>
      </c>
      <c r="J22" s="151">
        <v>4.1224687058952076</v>
      </c>
      <c r="K22" s="151">
        <v>4.5353622032258327</v>
      </c>
      <c r="L22" s="151">
        <v>4.4960255062688477</v>
      </c>
      <c r="M22" s="151">
        <v>4.797262003193814</v>
      </c>
      <c r="N22" s="151">
        <v>4.8547685600879102</v>
      </c>
      <c r="O22" s="151">
        <v>5.2767113811710811</v>
      </c>
      <c r="P22" s="151">
        <v>5.6870000000000003</v>
      </c>
      <c r="Q22" s="151">
        <v>5.3819999999999997</v>
      </c>
      <c r="R22" s="152">
        <v>6.149</v>
      </c>
      <c r="S22" s="466">
        <f t="shared" si="2"/>
        <v>14.251207729468589</v>
      </c>
      <c r="T22" s="88" t="s">
        <v>10</v>
      </c>
      <c r="U22" s="214"/>
    </row>
    <row r="23" spans="1:21" ht="12.75" customHeight="1" x14ac:dyDescent="0.2">
      <c r="A23" s="15"/>
      <c r="B23" s="17" t="s">
        <v>11</v>
      </c>
      <c r="C23" s="57">
        <v>4.3513532077765911</v>
      </c>
      <c r="D23" s="57">
        <v>5.0789104620356111</v>
      </c>
      <c r="E23" s="57">
        <v>5.8571309853276174</v>
      </c>
      <c r="F23" s="57">
        <v>5.4529833045731886</v>
      </c>
      <c r="G23" s="57">
        <v>5.0029435929245141</v>
      </c>
      <c r="H23" s="57">
        <v>5.0228402420568683</v>
      </c>
      <c r="I23" s="57">
        <v>5.3923231920486563</v>
      </c>
      <c r="J23" s="57">
        <v>5.9841807369090105</v>
      </c>
      <c r="K23" s="57">
        <v>6.6910372613651123</v>
      </c>
      <c r="L23" s="57">
        <v>6.7138771237216694</v>
      </c>
      <c r="M23" s="57">
        <v>7.2773203916716893</v>
      </c>
      <c r="N23" s="57">
        <v>7.4312378973444613</v>
      </c>
      <c r="O23" s="57">
        <v>7.7006125771429987</v>
      </c>
      <c r="P23" s="57">
        <v>7.9779999999999998</v>
      </c>
      <c r="Q23" s="57">
        <v>7.8159999999999998</v>
      </c>
      <c r="R23" s="163">
        <v>8.6669999999999998</v>
      </c>
      <c r="S23" s="379">
        <f t="shared" si="2"/>
        <v>10.887922210849538</v>
      </c>
      <c r="T23" s="17" t="s">
        <v>11</v>
      </c>
      <c r="U23" s="214"/>
    </row>
    <row r="24" spans="1:21" ht="12.75" customHeight="1" x14ac:dyDescent="0.2">
      <c r="A24" s="15"/>
      <c r="B24" s="88" t="s">
        <v>28</v>
      </c>
      <c r="C24" s="151">
        <v>1.8788998995106998</v>
      </c>
      <c r="D24" s="151">
        <v>1.8961685926874257</v>
      </c>
      <c r="E24" s="151">
        <v>2.0006935580327831</v>
      </c>
      <c r="F24" s="151">
        <v>2.1804820101599613</v>
      </c>
      <c r="G24" s="151">
        <v>1.9610770952484999</v>
      </c>
      <c r="H24" s="151">
        <v>2.1045873313087924</v>
      </c>
      <c r="I24" s="151">
        <v>2.1570893408303609</v>
      </c>
      <c r="J24" s="151">
        <v>2.7314068623047962</v>
      </c>
      <c r="K24" s="151">
        <v>2.4594908349359192</v>
      </c>
      <c r="L24" s="151">
        <v>2.9091572417584697</v>
      </c>
      <c r="M24" s="151">
        <v>2.4915117464717325</v>
      </c>
      <c r="N24" s="151">
        <v>2.6771081775198144</v>
      </c>
      <c r="O24" s="151">
        <v>2.7280032062239346</v>
      </c>
      <c r="P24" s="151">
        <v>2.3130000000000002</v>
      </c>
      <c r="Q24" s="151">
        <v>2.3679999999999999</v>
      </c>
      <c r="R24" s="152">
        <v>2.085</v>
      </c>
      <c r="S24" s="466">
        <f t="shared" si="2"/>
        <v>-11.951013513513516</v>
      </c>
      <c r="T24" s="88" t="s">
        <v>28</v>
      </c>
      <c r="U24" s="214"/>
    </row>
    <row r="25" spans="1:21" ht="12.75" customHeight="1" x14ac:dyDescent="0.2">
      <c r="A25" s="15"/>
      <c r="B25" s="17" t="s">
        <v>9</v>
      </c>
      <c r="C25" s="154">
        <v>22.208822375569891</v>
      </c>
      <c r="D25" s="154">
        <v>24.254655709452589</v>
      </c>
      <c r="E25" s="154">
        <v>26.157507043904019</v>
      </c>
      <c r="F25" s="154">
        <v>27.20579472873975</v>
      </c>
      <c r="G25" s="154">
        <v>22.343334546697704</v>
      </c>
      <c r="H25" s="154">
        <v>21.303895740560723</v>
      </c>
      <c r="I25" s="154">
        <v>21.073462215707782</v>
      </c>
      <c r="J25" s="154">
        <v>19.759008554103961</v>
      </c>
      <c r="K25" s="154">
        <v>20.04905203532147</v>
      </c>
      <c r="L25" s="154">
        <v>20.744700850786078</v>
      </c>
      <c r="M25" s="154">
        <v>22.110045296972469</v>
      </c>
      <c r="N25" s="154">
        <v>24.326412668600184</v>
      </c>
      <c r="O25" s="154">
        <v>25.814104274718961</v>
      </c>
      <c r="P25" s="154">
        <v>26.995999999999999</v>
      </c>
      <c r="Q25" s="154">
        <v>27.696000000000002</v>
      </c>
      <c r="R25" s="174">
        <v>26.216999999999999</v>
      </c>
      <c r="S25" s="379">
        <f t="shared" si="2"/>
        <v>-5.340121317157724</v>
      </c>
      <c r="T25" s="17" t="s">
        <v>9</v>
      </c>
      <c r="U25" s="214"/>
    </row>
    <row r="26" spans="1:21" ht="12.75" customHeight="1" x14ac:dyDescent="0.2">
      <c r="A26" s="15"/>
      <c r="B26" s="56" t="s">
        <v>12</v>
      </c>
      <c r="C26" s="258"/>
      <c r="D26" s="259"/>
      <c r="E26" s="259"/>
      <c r="F26" s="259"/>
      <c r="G26" s="259"/>
      <c r="H26" s="259"/>
      <c r="I26" s="259"/>
      <c r="J26" s="259"/>
      <c r="K26" s="259"/>
      <c r="L26" s="259"/>
      <c r="M26" s="259"/>
      <c r="N26" s="259"/>
      <c r="O26" s="259"/>
      <c r="P26" s="259"/>
      <c r="Q26" s="259"/>
      <c r="R26" s="461"/>
      <c r="S26" s="467"/>
      <c r="T26" s="56" t="s">
        <v>12</v>
      </c>
      <c r="U26" s="214"/>
    </row>
    <row r="27" spans="1:21" ht="12.75" customHeight="1" x14ac:dyDescent="0.2">
      <c r="A27" s="15"/>
      <c r="B27" s="17" t="s">
        <v>20</v>
      </c>
      <c r="C27" s="57">
        <v>49.746290616969461</v>
      </c>
      <c r="D27" s="57">
        <v>50.083234522714591</v>
      </c>
      <c r="E27" s="57">
        <v>49.985052920931601</v>
      </c>
      <c r="F27" s="57">
        <v>51.369646436130203</v>
      </c>
      <c r="G27" s="57">
        <v>48.981111527442742</v>
      </c>
      <c r="H27" s="57">
        <v>49.170720022948395</v>
      </c>
      <c r="I27" s="57">
        <v>49.140716806790834</v>
      </c>
      <c r="J27" s="57">
        <v>47.017593275768981</v>
      </c>
      <c r="K27" s="57">
        <v>50.997288204977004</v>
      </c>
      <c r="L27" s="57">
        <v>51.542722008564532</v>
      </c>
      <c r="M27" s="57">
        <v>51.708573289029772</v>
      </c>
      <c r="N27" s="57">
        <v>54.81124017816478</v>
      </c>
      <c r="O27" s="57">
        <v>54.251892052395981</v>
      </c>
      <c r="P27" s="57">
        <v>55.134999999999998</v>
      </c>
      <c r="Q27" s="57">
        <v>57.072000000000003</v>
      </c>
      <c r="R27" s="163">
        <v>56.7</v>
      </c>
      <c r="S27" s="379">
        <f t="shared" si="2"/>
        <v>-0.65180824222035483</v>
      </c>
      <c r="T27" s="17" t="s">
        <v>20</v>
      </c>
      <c r="U27" s="214"/>
    </row>
    <row r="28" spans="1:21" ht="12.75" customHeight="1" x14ac:dyDescent="0.2">
      <c r="A28" s="15"/>
      <c r="B28" s="88" t="s">
        <v>29</v>
      </c>
      <c r="C28" s="156">
        <v>32.381380726022428</v>
      </c>
      <c r="D28" s="156">
        <v>35.440497776109034</v>
      </c>
      <c r="E28" s="156">
        <v>38.547623944633933</v>
      </c>
      <c r="F28" s="156">
        <v>41.111043866369045</v>
      </c>
      <c r="G28" s="156">
        <v>35.72898571925888</v>
      </c>
      <c r="H28" s="156">
        <v>37.861436321100896</v>
      </c>
      <c r="I28" s="156">
        <v>39.078174158318348</v>
      </c>
      <c r="J28" s="156">
        <v>38.019854220087701</v>
      </c>
      <c r="K28" s="156">
        <v>38.564206558852241</v>
      </c>
      <c r="L28" s="156">
        <v>39.681254952828191</v>
      </c>
      <c r="M28" s="156">
        <v>41.449088446107396</v>
      </c>
      <c r="N28" s="156">
        <v>43.106108200398779</v>
      </c>
      <c r="O28" s="156">
        <v>45.802811042269653</v>
      </c>
      <c r="P28" s="156">
        <v>46.262</v>
      </c>
      <c r="Q28" s="156">
        <v>47.057000000000002</v>
      </c>
      <c r="R28" s="183">
        <v>46.984999999999999</v>
      </c>
      <c r="S28" s="466">
        <f t="shared" si="2"/>
        <v>-0.15300592897975207</v>
      </c>
      <c r="T28" s="88" t="s">
        <v>29</v>
      </c>
      <c r="U28" s="214"/>
    </row>
    <row r="29" spans="1:21" ht="12.75" customHeight="1" x14ac:dyDescent="0.2">
      <c r="A29" s="15"/>
      <c r="B29" s="17" t="s">
        <v>13</v>
      </c>
      <c r="C29" s="57">
        <v>86.811539828735874</v>
      </c>
      <c r="D29" s="57">
        <v>91.000122864066057</v>
      </c>
      <c r="E29" s="57">
        <v>95.3348474163421</v>
      </c>
      <c r="F29" s="57">
        <v>101.63664418474924</v>
      </c>
      <c r="G29" s="57">
        <v>107.35587481029782</v>
      </c>
      <c r="H29" s="57">
        <v>116.21699760290893</v>
      </c>
      <c r="I29" s="57">
        <v>125.60186987621069</v>
      </c>
      <c r="J29" s="57">
        <v>127.87654066091758</v>
      </c>
      <c r="K29" s="57">
        <v>141.54009254631984</v>
      </c>
      <c r="L29" s="57">
        <v>138.53842626631351</v>
      </c>
      <c r="M29" s="57">
        <v>147.39897075507085</v>
      </c>
      <c r="N29" s="57">
        <v>154.2049325524055</v>
      </c>
      <c r="O29" s="57">
        <v>173.99416191817039</v>
      </c>
      <c r="P29" s="57">
        <v>161.92500000000001</v>
      </c>
      <c r="Q29" s="57">
        <v>173.06800000000001</v>
      </c>
      <c r="R29" s="163">
        <v>175.14099999999999</v>
      </c>
      <c r="S29" s="379">
        <f t="shared" si="2"/>
        <v>1.1977950863244473</v>
      </c>
      <c r="T29" s="17" t="s">
        <v>13</v>
      </c>
      <c r="U29" s="214"/>
    </row>
    <row r="30" spans="1:21" ht="12.75" customHeight="1" x14ac:dyDescent="0.2">
      <c r="A30" s="15"/>
      <c r="B30" s="88" t="s">
        <v>30</v>
      </c>
      <c r="C30" s="151">
        <v>23.861106448547513</v>
      </c>
      <c r="D30" s="151">
        <v>24.434706019003297</v>
      </c>
      <c r="E30" s="151">
        <v>25.877326629317771</v>
      </c>
      <c r="F30" s="151">
        <v>23.675799061433665</v>
      </c>
      <c r="G30" s="151">
        <v>20.921435122121764</v>
      </c>
      <c r="H30" s="151">
        <v>18.94939533184484</v>
      </c>
      <c r="I30" s="151">
        <v>19.056490446758794</v>
      </c>
      <c r="J30" s="151">
        <v>16.459519422327858</v>
      </c>
      <c r="K30" s="151">
        <v>15.759662951489654</v>
      </c>
      <c r="L30" s="151">
        <v>16.649660760584609</v>
      </c>
      <c r="M30" s="151">
        <v>16.323326054359946</v>
      </c>
      <c r="N30" s="151">
        <v>16.381950518936026</v>
      </c>
      <c r="O30" s="151">
        <v>16.744558735023528</v>
      </c>
      <c r="P30" s="151">
        <v>16.658000000000001</v>
      </c>
      <c r="Q30" s="151">
        <v>16.611999999999998</v>
      </c>
      <c r="R30" s="152">
        <v>13.929</v>
      </c>
      <c r="S30" s="466">
        <f t="shared" si="2"/>
        <v>-16.150975198651565</v>
      </c>
      <c r="T30" s="88" t="s">
        <v>30</v>
      </c>
      <c r="U30" s="214"/>
    </row>
    <row r="31" spans="1:21" ht="12.75" customHeight="1" x14ac:dyDescent="0.2">
      <c r="A31" s="15"/>
      <c r="B31" s="17" t="s">
        <v>14</v>
      </c>
      <c r="C31" s="161">
        <v>32.50925754118051</v>
      </c>
      <c r="D31" s="161">
        <v>32.572396729346828</v>
      </c>
      <c r="E31" s="161">
        <v>33.914632044073144</v>
      </c>
      <c r="F31" s="161">
        <v>30.958933923373845</v>
      </c>
      <c r="G31" s="161">
        <v>25.14834193788769</v>
      </c>
      <c r="H31" s="161">
        <v>15.615036670078807</v>
      </c>
      <c r="I31" s="161">
        <v>15.447449865840989</v>
      </c>
      <c r="J31" s="161">
        <v>16.868975603035491</v>
      </c>
      <c r="K31" s="161">
        <v>17.011316994194889</v>
      </c>
      <c r="L31" s="161">
        <v>16.545707198199835</v>
      </c>
      <c r="M31" s="161">
        <v>16.460377863863872</v>
      </c>
      <c r="N31" s="161">
        <v>18.019906432523726</v>
      </c>
      <c r="O31" s="161">
        <v>19.39257899131335</v>
      </c>
      <c r="P31" s="161">
        <v>19.948</v>
      </c>
      <c r="Q31" s="161">
        <v>22.315000000000001</v>
      </c>
      <c r="R31" s="162">
        <v>21.675999999999998</v>
      </c>
      <c r="S31" s="465">
        <f t="shared" si="2"/>
        <v>-2.8635447008738595</v>
      </c>
      <c r="T31" s="17" t="s">
        <v>14</v>
      </c>
      <c r="U31" s="214"/>
    </row>
    <row r="32" spans="1:21" ht="12.75" customHeight="1" x14ac:dyDescent="0.2">
      <c r="A32" s="15"/>
      <c r="B32" s="88" t="s">
        <v>16</v>
      </c>
      <c r="C32" s="151">
        <v>7.3073122476044743</v>
      </c>
      <c r="D32" s="151">
        <v>8.0428943982190795</v>
      </c>
      <c r="E32" s="151">
        <v>8.4568880112995366</v>
      </c>
      <c r="F32" s="151">
        <v>8.4354199391810649</v>
      </c>
      <c r="G32" s="151">
        <v>7.3127216380563187</v>
      </c>
      <c r="H32" s="151">
        <v>7.3215131671523483</v>
      </c>
      <c r="I32" s="151">
        <v>7.29226014649901</v>
      </c>
      <c r="J32" s="151">
        <v>7.1062669197662203</v>
      </c>
      <c r="K32" s="151">
        <v>7.1245771161421674</v>
      </c>
      <c r="L32" s="151">
        <v>7.3182379906363213</v>
      </c>
      <c r="M32" s="151">
        <v>7.7547086514279373</v>
      </c>
      <c r="N32" s="151">
        <v>8.49107880919804</v>
      </c>
      <c r="O32" s="151">
        <v>9.3349884177767475</v>
      </c>
      <c r="P32" s="151">
        <v>9.4600000000000009</v>
      </c>
      <c r="Q32" s="151">
        <v>9.5950000000000006</v>
      </c>
      <c r="R32" s="152">
        <v>8.9629999999999992</v>
      </c>
      <c r="S32" s="466">
        <f t="shared" si="2"/>
        <v>-6.5867639395518722</v>
      </c>
      <c r="T32" s="88" t="s">
        <v>16</v>
      </c>
      <c r="U32" s="214"/>
    </row>
    <row r="33" spans="1:21" ht="12.75" customHeight="1" x14ac:dyDescent="0.2">
      <c r="A33" s="15"/>
      <c r="B33" s="17" t="s">
        <v>15</v>
      </c>
      <c r="C33" s="161">
        <v>10.527937660073155</v>
      </c>
      <c r="D33" s="161">
        <v>10.399220059945735</v>
      </c>
      <c r="E33" s="161">
        <v>12.16331567337247</v>
      </c>
      <c r="F33" s="161">
        <v>12.672540648940206</v>
      </c>
      <c r="G33" s="161">
        <v>11.607004611092629</v>
      </c>
      <c r="H33" s="161">
        <v>11.776453602577616</v>
      </c>
      <c r="I33" s="161">
        <v>11.951399957128286</v>
      </c>
      <c r="J33" s="161">
        <v>12.19854239892241</v>
      </c>
      <c r="K33" s="161">
        <v>12.292664272707704</v>
      </c>
      <c r="L33" s="161">
        <v>12.98100023272082</v>
      </c>
      <c r="M33" s="161">
        <v>13.856634169545718</v>
      </c>
      <c r="N33" s="161">
        <v>14.928548061067952</v>
      </c>
      <c r="O33" s="161">
        <v>16.36118040671677</v>
      </c>
      <c r="P33" s="161">
        <v>16.52</v>
      </c>
      <c r="Q33" s="161">
        <v>17.187999999999999</v>
      </c>
      <c r="R33" s="162">
        <v>16.478999999999999</v>
      </c>
      <c r="S33" s="465">
        <f t="shared" si="2"/>
        <v>-4.1249709099371614</v>
      </c>
      <c r="T33" s="17" t="s">
        <v>15</v>
      </c>
      <c r="U33" s="214"/>
    </row>
    <row r="34" spans="1:21" ht="12.75" customHeight="1" x14ac:dyDescent="0.2">
      <c r="A34" s="15"/>
      <c r="B34" s="88" t="s">
        <v>31</v>
      </c>
      <c r="C34" s="151">
        <v>28.808963842747477</v>
      </c>
      <c r="D34" s="151">
        <v>26.52365723807053</v>
      </c>
      <c r="E34" s="151">
        <v>27.050020167292349</v>
      </c>
      <c r="F34" s="151">
        <v>28.714320893272802</v>
      </c>
      <c r="G34" s="151">
        <v>25.397070133212612</v>
      </c>
      <c r="H34" s="151">
        <v>26.488763955975031</v>
      </c>
      <c r="I34" s="151">
        <v>24.595234999554382</v>
      </c>
      <c r="J34" s="151">
        <v>22.994069037448622</v>
      </c>
      <c r="K34" s="151">
        <v>21.893340495448285</v>
      </c>
      <c r="L34" s="151">
        <v>21.485661551596859</v>
      </c>
      <c r="M34" s="151">
        <v>22.776604819795246</v>
      </c>
      <c r="N34" s="151">
        <v>25.713294066867185</v>
      </c>
      <c r="O34" s="151">
        <v>27.463857468641315</v>
      </c>
      <c r="P34" s="151">
        <v>27.256</v>
      </c>
      <c r="Q34" s="151">
        <v>27.782</v>
      </c>
      <c r="R34" s="152">
        <v>28.942</v>
      </c>
      <c r="S34" s="466">
        <f t="shared" si="2"/>
        <v>4.1753653444676502</v>
      </c>
      <c r="T34" s="88" t="s">
        <v>31</v>
      </c>
      <c r="U34" s="214"/>
    </row>
    <row r="35" spans="1:21" ht="12.75" customHeight="1" x14ac:dyDescent="0.2">
      <c r="A35" s="15"/>
      <c r="B35" s="18" t="s">
        <v>32</v>
      </c>
      <c r="C35" s="168">
        <v>45.115317917611733</v>
      </c>
      <c r="D35" s="168">
        <v>46.788474462111537</v>
      </c>
      <c r="E35" s="168">
        <v>47.93511056979689</v>
      </c>
      <c r="F35" s="168">
        <v>48.896852887309201</v>
      </c>
      <c r="G35" s="168">
        <v>40.78704589439581</v>
      </c>
      <c r="H35" s="168">
        <v>42.44900974922502</v>
      </c>
      <c r="I35" s="168">
        <v>42.903623853035562</v>
      </c>
      <c r="J35" s="168">
        <v>39.592588590899169</v>
      </c>
      <c r="K35" s="168">
        <v>41.216114282780183</v>
      </c>
      <c r="L35" s="168">
        <v>48.825866290343065</v>
      </c>
      <c r="M35" s="168">
        <v>49.407214803486937</v>
      </c>
      <c r="N35" s="168">
        <v>51.24667543398651</v>
      </c>
      <c r="O35" s="168">
        <v>50.443560517780583</v>
      </c>
      <c r="P35" s="168">
        <v>52.841999999999999</v>
      </c>
      <c r="Q35" s="168">
        <v>51.503999999999998</v>
      </c>
      <c r="R35" s="391">
        <v>52.322000000000003</v>
      </c>
      <c r="S35" s="468">
        <f t="shared" si="2"/>
        <v>1.58822615719167</v>
      </c>
      <c r="T35" s="18" t="s">
        <v>32</v>
      </c>
      <c r="U35" s="214"/>
    </row>
    <row r="36" spans="1:21" ht="12.75" customHeight="1" x14ac:dyDescent="0.2">
      <c r="A36" s="15"/>
      <c r="B36" s="207" t="s">
        <v>3</v>
      </c>
      <c r="C36" s="210"/>
      <c r="D36" s="210"/>
      <c r="E36" s="210"/>
      <c r="F36" s="210"/>
      <c r="G36" s="210"/>
      <c r="H36" s="210"/>
      <c r="I36" s="211"/>
      <c r="J36" s="211"/>
      <c r="K36" s="211"/>
      <c r="L36" s="211"/>
      <c r="M36" s="211"/>
      <c r="N36" s="211"/>
      <c r="O36" s="211"/>
      <c r="P36" s="211"/>
      <c r="Q36" s="197"/>
      <c r="R36" s="218"/>
      <c r="S36" s="469"/>
      <c r="T36" s="207" t="s">
        <v>3</v>
      </c>
      <c r="U36" s="23"/>
    </row>
    <row r="37" spans="1:21" ht="12.75" customHeight="1" x14ac:dyDescent="0.2">
      <c r="A37" s="15"/>
      <c r="B37" s="17" t="s">
        <v>33</v>
      </c>
      <c r="C37" s="57">
        <v>17.146508685921173</v>
      </c>
      <c r="D37" s="57">
        <v>17.822798132876812</v>
      </c>
      <c r="E37" s="57">
        <v>17.911175138471659</v>
      </c>
      <c r="F37" s="57">
        <v>19.587450219743701</v>
      </c>
      <c r="G37" s="57">
        <v>17.868884368585746</v>
      </c>
      <c r="H37" s="57">
        <v>19.14077040984116</v>
      </c>
      <c r="I37" s="57">
        <v>19.110573286643771</v>
      </c>
      <c r="J37" s="57">
        <v>20.03683130473766</v>
      </c>
      <c r="K37" s="57">
        <v>22.02071044532175</v>
      </c>
      <c r="L37" s="57">
        <v>22.226176453058674</v>
      </c>
      <c r="M37" s="57">
        <v>23.704846203244088</v>
      </c>
      <c r="N37" s="57">
        <v>22.207108104762266</v>
      </c>
      <c r="O37" s="57">
        <v>22.594634233774766</v>
      </c>
      <c r="P37" s="57">
        <v>22.493751897110126</v>
      </c>
      <c r="Q37" s="57">
        <v>22.751000000000001</v>
      </c>
      <c r="R37" s="163">
        <v>22.79</v>
      </c>
      <c r="S37" s="379">
        <f>R37/Q37*100-100</f>
        <v>0.17142103643794826</v>
      </c>
      <c r="T37" s="17" t="s">
        <v>33</v>
      </c>
      <c r="U37" s="23"/>
    </row>
    <row r="38" spans="1:21" ht="12.75" customHeight="1" x14ac:dyDescent="0.2">
      <c r="A38" s="15"/>
      <c r="B38" s="215" t="s">
        <v>4</v>
      </c>
      <c r="C38" s="198">
        <v>23.007696856879679</v>
      </c>
      <c r="D38" s="198">
        <v>23.258567549690142</v>
      </c>
      <c r="E38" s="198">
        <v>22.048322357583544</v>
      </c>
      <c r="F38" s="198">
        <v>22.285776574414683</v>
      </c>
      <c r="G38" s="198">
        <v>20.886453776546631</v>
      </c>
      <c r="H38" s="198">
        <v>21.60194082713814</v>
      </c>
      <c r="I38" s="198">
        <v>21.171207494683856</v>
      </c>
      <c r="J38" s="198">
        <v>20.849872959497766</v>
      </c>
      <c r="K38" s="198">
        <v>20.827749283283858</v>
      </c>
      <c r="L38" s="198">
        <v>21.688390603630552</v>
      </c>
      <c r="M38" s="198">
        <v>20.820411101023264</v>
      </c>
      <c r="N38" s="198">
        <v>20.76417288942179</v>
      </c>
      <c r="O38" s="198">
        <v>21.875010098478988</v>
      </c>
      <c r="P38" s="198">
        <v>22.091059661936551</v>
      </c>
      <c r="Q38" s="198">
        <v>22.335999999999999</v>
      </c>
      <c r="R38" s="217">
        <v>22.974</v>
      </c>
      <c r="S38" s="235">
        <f>R38/Q38*100-100</f>
        <v>2.8563753581662041</v>
      </c>
      <c r="T38" s="215" t="s">
        <v>4</v>
      </c>
      <c r="U38" s="23"/>
    </row>
    <row r="39" spans="1:21" ht="12.75" customHeight="1" x14ac:dyDescent="0.2">
      <c r="A39" s="15"/>
      <c r="B39" s="17" t="s">
        <v>96</v>
      </c>
      <c r="C39" s="154"/>
      <c r="D39" s="154"/>
      <c r="E39" s="154"/>
      <c r="F39" s="154"/>
      <c r="G39" s="154"/>
      <c r="H39" s="154"/>
      <c r="I39" s="154"/>
      <c r="J39" s="154"/>
      <c r="K39" s="154"/>
      <c r="L39" s="154"/>
      <c r="M39" s="154"/>
      <c r="N39" s="154"/>
      <c r="O39" s="154"/>
      <c r="P39" s="186"/>
      <c r="Q39" s="154"/>
      <c r="R39" s="174"/>
      <c r="S39" s="379"/>
      <c r="T39" s="17" t="s">
        <v>96</v>
      </c>
      <c r="U39" s="214"/>
    </row>
    <row r="40" spans="1:21" ht="12.75" customHeight="1" x14ac:dyDescent="0.2">
      <c r="A40" s="15"/>
      <c r="B40" s="193" t="s">
        <v>2</v>
      </c>
      <c r="C40" s="195"/>
      <c r="D40" s="195"/>
      <c r="E40" s="195"/>
      <c r="F40" s="195"/>
      <c r="G40" s="195"/>
      <c r="H40" s="195"/>
      <c r="I40" s="195"/>
      <c r="J40" s="195"/>
      <c r="K40" s="195"/>
      <c r="L40" s="195"/>
      <c r="M40" s="195"/>
      <c r="N40" s="195"/>
      <c r="O40" s="195"/>
      <c r="P40" s="195"/>
      <c r="Q40" s="195"/>
      <c r="R40" s="206"/>
      <c r="S40" s="469"/>
      <c r="T40" s="193" t="s">
        <v>2</v>
      </c>
      <c r="U40" s="23"/>
    </row>
    <row r="41" spans="1:21" ht="12.75" customHeight="1" x14ac:dyDescent="0.2">
      <c r="A41" s="15"/>
      <c r="B41" s="17" t="s">
        <v>100</v>
      </c>
      <c r="C41" s="57"/>
      <c r="D41" s="57"/>
      <c r="E41" s="57"/>
      <c r="F41" s="57"/>
      <c r="G41" s="57"/>
      <c r="H41" s="57"/>
      <c r="I41" s="57"/>
      <c r="J41" s="57"/>
      <c r="K41" s="57"/>
      <c r="L41" s="57"/>
      <c r="M41" s="57"/>
      <c r="N41" s="57"/>
      <c r="O41" s="57"/>
      <c r="P41" s="57"/>
      <c r="Q41" s="57"/>
      <c r="R41" s="163"/>
      <c r="S41" s="379"/>
      <c r="T41" s="17" t="s">
        <v>100</v>
      </c>
      <c r="U41" s="23"/>
    </row>
    <row r="42" spans="1:21" ht="12.75" customHeight="1" x14ac:dyDescent="0.2">
      <c r="A42" s="15"/>
      <c r="B42" s="193" t="s">
        <v>97</v>
      </c>
      <c r="C42" s="195"/>
      <c r="D42" s="195"/>
      <c r="E42" s="195"/>
      <c r="F42" s="195"/>
      <c r="G42" s="195"/>
      <c r="H42" s="195"/>
      <c r="I42" s="195"/>
      <c r="J42" s="195"/>
      <c r="K42" s="195"/>
      <c r="L42" s="195"/>
      <c r="M42" s="195"/>
      <c r="N42" s="195"/>
      <c r="O42" s="195"/>
      <c r="P42" s="195"/>
      <c r="Q42" s="195"/>
      <c r="R42" s="206"/>
      <c r="S42" s="469"/>
      <c r="T42" s="193" t="s">
        <v>97</v>
      </c>
      <c r="U42" s="23"/>
    </row>
    <row r="43" spans="1:21" ht="12.75" customHeight="1" x14ac:dyDescent="0.2">
      <c r="A43" s="15"/>
      <c r="B43" s="18" t="s">
        <v>17</v>
      </c>
      <c r="C43" s="58"/>
      <c r="D43" s="58"/>
      <c r="E43" s="58"/>
      <c r="F43" s="58"/>
      <c r="G43" s="58"/>
      <c r="H43" s="58"/>
      <c r="I43" s="58"/>
      <c r="J43" s="58"/>
      <c r="K43" s="58"/>
      <c r="L43" s="58"/>
      <c r="M43" s="58"/>
      <c r="N43" s="58"/>
      <c r="O43" s="58"/>
      <c r="P43" s="58"/>
      <c r="Q43" s="58"/>
      <c r="R43" s="166"/>
      <c r="S43" s="470"/>
      <c r="T43" s="18" t="s">
        <v>17</v>
      </c>
      <c r="U43" s="23"/>
    </row>
    <row r="44" spans="1:21" ht="12.75" customHeight="1" x14ac:dyDescent="0.2">
      <c r="A44" s="15"/>
      <c r="B44" s="89" t="s">
        <v>21</v>
      </c>
      <c r="C44" s="165">
        <v>167.29812396915941</v>
      </c>
      <c r="D44" s="165">
        <v>171.49776888484439</v>
      </c>
      <c r="E44" s="165">
        <v>178.13460293899621</v>
      </c>
      <c r="F44" s="165">
        <v>167.65821628614697</v>
      </c>
      <c r="G44" s="165">
        <v>145.00440997187189</v>
      </c>
      <c r="H44" s="165">
        <v>151.50926881682688</v>
      </c>
      <c r="I44" s="182">
        <v>152.76906487027637</v>
      </c>
      <c r="J44" s="182">
        <v>155.91290480172725</v>
      </c>
      <c r="K44" s="182">
        <v>144.63260766892483</v>
      </c>
      <c r="L44" s="182">
        <v>141.67944962930397</v>
      </c>
      <c r="M44" s="182">
        <v>157.21354583421615</v>
      </c>
      <c r="N44" s="182">
        <v>163.9781658715238</v>
      </c>
      <c r="O44" s="182">
        <v>161.72473366088923</v>
      </c>
      <c r="P44" s="182">
        <v>165.36411521055106</v>
      </c>
      <c r="Q44" s="182">
        <v>168.10387021550426</v>
      </c>
      <c r="R44" s="380"/>
      <c r="S44" s="282"/>
      <c r="T44" s="89" t="s">
        <v>21</v>
      </c>
      <c r="U44" s="421"/>
    </row>
    <row r="45" spans="1:21" ht="12.75" customHeight="1" x14ac:dyDescent="0.2">
      <c r="A45" s="15"/>
      <c r="B45" s="290" t="s">
        <v>148</v>
      </c>
      <c r="C45" s="253"/>
      <c r="D45" s="253"/>
      <c r="E45" s="253"/>
      <c r="F45" s="253"/>
      <c r="G45" s="253"/>
      <c r="H45" s="253"/>
      <c r="I45" s="253"/>
      <c r="J45" s="253"/>
      <c r="K45" s="253"/>
      <c r="L45" s="253"/>
      <c r="M45" s="253"/>
      <c r="N45" s="253"/>
      <c r="O45" s="253"/>
      <c r="P45" s="253"/>
      <c r="Q45" s="253"/>
      <c r="R45" s="253"/>
      <c r="S45" s="253"/>
      <c r="T45" s="253"/>
      <c r="U45" s="23"/>
    </row>
    <row r="46" spans="1:21" x14ac:dyDescent="0.2">
      <c r="B46" s="129" t="s">
        <v>138</v>
      </c>
      <c r="U46" s="253"/>
    </row>
    <row r="47" spans="1:21" ht="12.75" customHeight="1" x14ac:dyDescent="0.2">
      <c r="B47" s="3" t="s">
        <v>70</v>
      </c>
    </row>
    <row r="48" spans="1:21" ht="12.75" customHeight="1" x14ac:dyDescent="0.2">
      <c r="B48" s="92" t="s">
        <v>72</v>
      </c>
    </row>
    <row r="49" spans="2:20" ht="57" customHeight="1" x14ac:dyDescent="0.2">
      <c r="B49" s="541" t="s">
        <v>144</v>
      </c>
      <c r="C49" s="541"/>
      <c r="D49" s="541"/>
      <c r="E49" s="541"/>
      <c r="F49" s="541"/>
      <c r="G49" s="541"/>
      <c r="H49" s="541"/>
      <c r="I49" s="541"/>
      <c r="J49" s="541"/>
      <c r="K49" s="541"/>
      <c r="L49" s="541"/>
      <c r="M49" s="541"/>
      <c r="N49" s="541"/>
      <c r="O49" s="541"/>
      <c r="P49" s="541"/>
      <c r="Q49" s="541"/>
      <c r="R49" s="541"/>
      <c r="S49" s="541"/>
      <c r="T49" s="541"/>
    </row>
  </sheetData>
  <mergeCells count="4">
    <mergeCell ref="B2:T2"/>
    <mergeCell ref="B3:T3"/>
    <mergeCell ref="B49:T49"/>
    <mergeCell ref="P4:R4"/>
  </mergeCells>
  <printOptions horizontalCentered="1"/>
  <pageMargins left="0.6692913385826772" right="0.27559055118110237"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BB78"/>
  <sheetViews>
    <sheetView topLeftCell="A13" zoomScaleNormal="100" workbookViewId="0">
      <selection activeCell="AB1" sqref="AB1"/>
    </sheetView>
  </sheetViews>
  <sheetFormatPr defaultRowHeight="12.75" x14ac:dyDescent="0.2"/>
  <cols>
    <col min="1" max="1" width="3.5703125" customWidth="1"/>
    <col min="2" max="2" width="7.28515625" style="3" customWidth="1"/>
    <col min="3" max="20" width="6.7109375" style="3" customWidth="1"/>
    <col min="21" max="34" width="7.28515625" style="3" customWidth="1"/>
    <col min="35" max="35" width="6.85546875" style="3" customWidth="1"/>
    <col min="36" max="36" width="6.28515625" style="320" customWidth="1"/>
    <col min="37" max="37" width="5.5703125" style="3" customWidth="1"/>
    <col min="38" max="16384" width="9.140625" style="3"/>
  </cols>
  <sheetData>
    <row r="1" spans="1:37" ht="14.25" customHeight="1" x14ac:dyDescent="0.2">
      <c r="AA1" s="39"/>
    </row>
    <row r="2" spans="1:37" s="47" customFormat="1" ht="30" customHeight="1" x14ac:dyDescent="0.2">
      <c r="A2"/>
      <c r="B2" s="42"/>
      <c r="C2" s="43"/>
      <c r="D2" s="43"/>
      <c r="E2" s="38"/>
      <c r="F2" s="38"/>
      <c r="G2" s="38"/>
      <c r="H2" s="520"/>
      <c r="I2" s="38"/>
      <c r="J2" s="38"/>
      <c r="K2" s="38"/>
      <c r="L2" s="38"/>
      <c r="M2" s="38"/>
      <c r="N2" s="38"/>
      <c r="O2" s="38"/>
      <c r="P2" s="38"/>
      <c r="Q2" s="38"/>
      <c r="R2" s="3"/>
      <c r="S2" s="3"/>
      <c r="T2" s="3"/>
      <c r="U2" s="39"/>
      <c r="V2" s="39"/>
      <c r="W2" s="39"/>
      <c r="X2" s="39"/>
      <c r="Y2" s="39"/>
      <c r="Z2" s="39"/>
      <c r="AA2" s="39"/>
      <c r="AB2" s="396"/>
      <c r="AC2" s="39"/>
      <c r="AD2" s="39"/>
      <c r="AE2" s="39"/>
      <c r="AF2" s="39"/>
      <c r="AG2" s="39"/>
      <c r="AH2" s="39"/>
      <c r="AI2" s="39"/>
      <c r="AJ2" s="320"/>
      <c r="AK2" s="39" t="s">
        <v>81</v>
      </c>
    </row>
    <row r="3" spans="1:37" ht="15.75" x14ac:dyDescent="0.2">
      <c r="A3" s="80"/>
      <c r="B3" s="586" t="s">
        <v>38</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row>
    <row r="4" spans="1:37" ht="20.100000000000001" customHeight="1" x14ac:dyDescent="0.2">
      <c r="B4" s="4"/>
      <c r="C4" s="4"/>
      <c r="E4" s="28"/>
      <c r="F4" s="28"/>
      <c r="G4" s="28"/>
      <c r="H4" s="509"/>
      <c r="I4" s="28"/>
      <c r="J4" s="508"/>
      <c r="K4" s="508"/>
      <c r="L4" s="508"/>
      <c r="M4" s="508"/>
      <c r="N4" s="508"/>
      <c r="O4" s="508"/>
      <c r="P4" s="508"/>
      <c r="Q4" s="508"/>
      <c r="R4" s="508"/>
      <c r="X4" s="178"/>
      <c r="Y4" s="21"/>
      <c r="Z4" s="21"/>
      <c r="AA4" s="21"/>
      <c r="AB4" s="21"/>
      <c r="AC4" s="21"/>
      <c r="AD4" s="21"/>
      <c r="AE4" s="178"/>
      <c r="AF4" s="178"/>
      <c r="AH4" s="580" t="s">
        <v>95</v>
      </c>
      <c r="AI4" s="580"/>
      <c r="AJ4" s="293"/>
      <c r="AK4" s="45"/>
    </row>
    <row r="5" spans="1:37" ht="9.9499999999999993" customHeight="1" x14ac:dyDescent="0.2">
      <c r="B5" s="32"/>
      <c r="C5" s="394">
        <v>1970</v>
      </c>
      <c r="D5" s="394">
        <v>1980</v>
      </c>
      <c r="E5" s="395">
        <v>1990</v>
      </c>
      <c r="F5" s="395">
        <v>1991</v>
      </c>
      <c r="G5" s="395">
        <v>1992</v>
      </c>
      <c r="H5" s="395">
        <v>1993</v>
      </c>
      <c r="I5" s="395">
        <v>1994</v>
      </c>
      <c r="J5" s="395">
        <v>1995</v>
      </c>
      <c r="K5" s="395">
        <v>1996</v>
      </c>
      <c r="L5" s="395">
        <v>1997</v>
      </c>
      <c r="M5" s="395">
        <v>1998</v>
      </c>
      <c r="N5" s="395">
        <v>1999</v>
      </c>
      <c r="O5" s="395">
        <v>2000</v>
      </c>
      <c r="P5" s="395">
        <v>2001</v>
      </c>
      <c r="Q5" s="395">
        <v>2002</v>
      </c>
      <c r="R5" s="395">
        <v>2003</v>
      </c>
      <c r="S5" s="395">
        <v>2004</v>
      </c>
      <c r="T5" s="395">
        <v>2005</v>
      </c>
      <c r="U5" s="395">
        <v>2006</v>
      </c>
      <c r="V5" s="395">
        <v>2007</v>
      </c>
      <c r="W5" s="395">
        <v>2008</v>
      </c>
      <c r="X5" s="395">
        <v>2009</v>
      </c>
      <c r="Y5" s="395">
        <v>2010</v>
      </c>
      <c r="Z5" s="395">
        <v>2011</v>
      </c>
      <c r="AA5" s="395">
        <v>2012</v>
      </c>
      <c r="AB5" s="395">
        <v>2013</v>
      </c>
      <c r="AC5" s="395">
        <v>2014</v>
      </c>
      <c r="AD5" s="395">
        <v>2015</v>
      </c>
      <c r="AE5" s="395">
        <v>2016</v>
      </c>
      <c r="AF5" s="395">
        <v>2017</v>
      </c>
      <c r="AG5" s="395">
        <v>2018</v>
      </c>
      <c r="AH5" s="395">
        <v>2019</v>
      </c>
      <c r="AI5" s="395">
        <v>2020</v>
      </c>
      <c r="AJ5" s="583" t="s">
        <v>146</v>
      </c>
      <c r="AK5" s="403"/>
    </row>
    <row r="6" spans="1:37" ht="12.75" customHeight="1" x14ac:dyDescent="0.2">
      <c r="B6" s="132"/>
      <c r="C6" s="103"/>
      <c r="D6" s="10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140"/>
      <c r="AJ6" s="584"/>
      <c r="AK6" s="90"/>
    </row>
    <row r="7" spans="1:37" ht="12.75" customHeight="1" x14ac:dyDescent="0.2">
      <c r="B7" s="87" t="s">
        <v>112</v>
      </c>
      <c r="C7" s="480">
        <f t="shared" ref="C7:N7" si="0">C8-C44</f>
        <v>526.51900000000001</v>
      </c>
      <c r="D7" s="480">
        <f t="shared" si="0"/>
        <v>623.61599999999999</v>
      </c>
      <c r="E7" s="287">
        <f t="shared" si="0"/>
        <v>510.34299999999996</v>
      </c>
      <c r="F7" s="287">
        <f t="shared" si="0"/>
        <v>428.62901099999999</v>
      </c>
      <c r="G7" s="287">
        <f t="shared" si="0"/>
        <v>378.96459099999998</v>
      </c>
      <c r="H7" s="287">
        <f t="shared" si="0"/>
        <v>357.89550899999995</v>
      </c>
      <c r="I7" s="287">
        <f t="shared" si="0"/>
        <v>367.15225799999996</v>
      </c>
      <c r="J7" s="287">
        <f t="shared" si="0"/>
        <v>374.81806800000004</v>
      </c>
      <c r="K7" s="287">
        <f t="shared" si="0"/>
        <v>378.76300000000009</v>
      </c>
      <c r="L7" s="287">
        <f t="shared" si="0"/>
        <v>394.35199999999992</v>
      </c>
      <c r="M7" s="287">
        <f t="shared" si="0"/>
        <v>377.03752500000002</v>
      </c>
      <c r="N7" s="287">
        <f t="shared" si="0"/>
        <v>367.11001500293986</v>
      </c>
      <c r="O7" s="287">
        <f>SUM(O9:O35)</f>
        <v>387.9207546422241</v>
      </c>
      <c r="P7" s="287">
        <f t="shared" ref="P7:AI7" si="1">SUM(P9:P35)</f>
        <v>369.25330225225701</v>
      </c>
      <c r="Q7" s="287">
        <f t="shared" si="1"/>
        <v>368.16119255303101</v>
      </c>
      <c r="R7" s="287">
        <f t="shared" si="1"/>
        <v>376.30926875462399</v>
      </c>
      <c r="S7" s="287">
        <f t="shared" si="1"/>
        <v>390.03499999999997</v>
      </c>
      <c r="T7" s="287">
        <f t="shared" si="1"/>
        <v>394.59700000000004</v>
      </c>
      <c r="U7" s="287">
        <f t="shared" si="1"/>
        <v>416.24600000000004</v>
      </c>
      <c r="V7" s="287">
        <f t="shared" si="1"/>
        <v>430.72400000000005</v>
      </c>
      <c r="W7" s="287">
        <f t="shared" si="1"/>
        <v>421.68599999999992</v>
      </c>
      <c r="X7" s="287">
        <f t="shared" si="1"/>
        <v>344.36900000000003</v>
      </c>
      <c r="Y7" s="287">
        <f t="shared" si="1"/>
        <v>374.95499999999998</v>
      </c>
      <c r="Z7" s="287">
        <f t="shared" si="1"/>
        <v>401.12199999999984</v>
      </c>
      <c r="AA7" s="287">
        <f t="shared" si="1"/>
        <v>385.18899999999996</v>
      </c>
      <c r="AB7" s="287">
        <f t="shared" si="1"/>
        <v>384.31900000000007</v>
      </c>
      <c r="AC7" s="287">
        <f t="shared" si="1"/>
        <v>388.93199999999996</v>
      </c>
      <c r="AD7" s="287">
        <f t="shared" si="1"/>
        <v>398.51700000000011</v>
      </c>
      <c r="AE7" s="287">
        <f t="shared" si="1"/>
        <v>407.45800000000008</v>
      </c>
      <c r="AF7" s="287">
        <f t="shared" si="1"/>
        <v>411.27800000000002</v>
      </c>
      <c r="AG7" s="287">
        <f t="shared" si="1"/>
        <v>418.31399999999996</v>
      </c>
      <c r="AH7" s="287">
        <f t="shared" si="1"/>
        <v>407.92099999999999</v>
      </c>
      <c r="AI7" s="287">
        <f t="shared" si="1"/>
        <v>377.30700000000007</v>
      </c>
      <c r="AJ7" s="479">
        <f>AI7/AH7*100-100</f>
        <v>-7.5048845242093165</v>
      </c>
      <c r="AK7" s="87" t="s">
        <v>112</v>
      </c>
    </row>
    <row r="8" spans="1:37" ht="12.75" customHeight="1" x14ac:dyDescent="0.2">
      <c r="B8" s="279" t="s">
        <v>99</v>
      </c>
      <c r="C8" s="481">
        <v>551.06899999999996</v>
      </c>
      <c r="D8" s="481">
        <v>641.43200000000002</v>
      </c>
      <c r="E8" s="319">
        <v>526.34299999999996</v>
      </c>
      <c r="F8" s="319">
        <v>443.929011</v>
      </c>
      <c r="G8" s="319">
        <v>394.46459099999998</v>
      </c>
      <c r="H8" s="319">
        <v>371.69550899999996</v>
      </c>
      <c r="I8" s="319">
        <v>380.15225799999996</v>
      </c>
      <c r="J8" s="319">
        <v>388.11806800000005</v>
      </c>
      <c r="K8" s="319">
        <v>393.86300000000011</v>
      </c>
      <c r="L8" s="319">
        <v>411.2519999999999</v>
      </c>
      <c r="M8" s="319">
        <v>394.33752500000003</v>
      </c>
      <c r="N8" s="319">
        <v>385.31001500293985</v>
      </c>
      <c r="O8" s="319">
        <f t="shared" ref="O8:AH8" si="2">O7+O44</f>
        <v>406.02075464222412</v>
      </c>
      <c r="P8" s="319">
        <f t="shared" si="2"/>
        <v>388.65330225225699</v>
      </c>
      <c r="Q8" s="319">
        <f t="shared" si="2"/>
        <v>386.66119255303101</v>
      </c>
      <c r="R8" s="319">
        <f t="shared" si="2"/>
        <v>395.04326875462397</v>
      </c>
      <c r="S8" s="319">
        <f t="shared" si="2"/>
        <v>412.58699999999999</v>
      </c>
      <c r="T8" s="319">
        <f t="shared" si="2"/>
        <v>416.02400000000006</v>
      </c>
      <c r="U8" s="319">
        <f t="shared" si="2"/>
        <v>438.16500000000002</v>
      </c>
      <c r="V8" s="319">
        <f t="shared" si="2"/>
        <v>451.98900000000003</v>
      </c>
      <c r="W8" s="319">
        <f t="shared" si="2"/>
        <v>442.76299999999992</v>
      </c>
      <c r="X8" s="319">
        <f t="shared" si="2"/>
        <v>363.54</v>
      </c>
      <c r="Y8" s="319">
        <f t="shared" si="2"/>
        <v>393.53100000000001</v>
      </c>
      <c r="Z8" s="319">
        <f t="shared" si="2"/>
        <v>422.09599999999983</v>
      </c>
      <c r="AA8" s="319">
        <f t="shared" si="2"/>
        <v>406.63299999999998</v>
      </c>
      <c r="AB8" s="319">
        <f t="shared" si="2"/>
        <v>406.72000000000008</v>
      </c>
      <c r="AC8" s="319">
        <f t="shared" si="2"/>
        <v>411.07499999999993</v>
      </c>
      <c r="AD8" s="319">
        <f t="shared" si="2"/>
        <v>417.85900000000009</v>
      </c>
      <c r="AE8" s="319">
        <f t="shared" si="2"/>
        <v>424.51100000000008</v>
      </c>
      <c r="AF8" s="319">
        <f t="shared" si="2"/>
        <v>428.44500000000005</v>
      </c>
      <c r="AG8" s="319">
        <f t="shared" si="2"/>
        <v>435.52</v>
      </c>
      <c r="AH8" s="319">
        <f t="shared" si="2"/>
        <v>424.80500000000001</v>
      </c>
      <c r="AI8" s="287"/>
      <c r="AJ8" s="283"/>
      <c r="AK8" s="279" t="s">
        <v>99</v>
      </c>
    </row>
    <row r="9" spans="1:37" ht="12.75" customHeight="1" x14ac:dyDescent="0.2">
      <c r="A9" s="15"/>
      <c r="B9" s="16" t="s">
        <v>22</v>
      </c>
      <c r="C9" s="291">
        <v>7.8760000000000003</v>
      </c>
      <c r="D9" s="291">
        <v>8.0370000000000008</v>
      </c>
      <c r="E9" s="291">
        <v>8.3699999999999992</v>
      </c>
      <c r="F9" s="173">
        <v>8.2029999999999994</v>
      </c>
      <c r="G9" s="173">
        <v>8.3610000000000007</v>
      </c>
      <c r="H9" s="173">
        <v>7.5960000000000001</v>
      </c>
      <c r="I9" s="173">
        <v>8.0969999999999995</v>
      </c>
      <c r="J9" s="173">
        <v>7.3040000000000003</v>
      </c>
      <c r="K9" s="173">
        <v>7.2439999999999998</v>
      </c>
      <c r="L9" s="173">
        <v>7.4649999999999999</v>
      </c>
      <c r="M9" s="173">
        <v>7.6</v>
      </c>
      <c r="N9" s="292">
        <v>7.3920000000000003</v>
      </c>
      <c r="O9" s="173">
        <v>7.6740000000000004</v>
      </c>
      <c r="P9" s="173">
        <v>7.0810000000000004</v>
      </c>
      <c r="Q9" s="173">
        <v>7.2969999999999997</v>
      </c>
      <c r="R9" s="173">
        <v>7.2930000000000001</v>
      </c>
      <c r="S9" s="173">
        <v>7.6909999999999998</v>
      </c>
      <c r="T9" s="173">
        <v>8.1300000000000008</v>
      </c>
      <c r="U9" s="173">
        <v>8.5719999999999992</v>
      </c>
      <c r="V9" s="173">
        <v>9.2579999999999991</v>
      </c>
      <c r="W9" s="173">
        <v>8.9269999999999996</v>
      </c>
      <c r="X9" s="173">
        <v>6.3739999999999997</v>
      </c>
      <c r="Y9" s="173">
        <v>7.476</v>
      </c>
      <c r="Z9" s="202">
        <v>7.593</v>
      </c>
      <c r="AA9" s="173">
        <f>(1700+1700+1600+1500)/1000+0.78</f>
        <v>7.28</v>
      </c>
      <c r="AB9" s="144">
        <v>7.28</v>
      </c>
      <c r="AC9" s="144">
        <v>7.28</v>
      </c>
      <c r="AD9" s="144">
        <v>7.28</v>
      </c>
      <c r="AE9" s="144">
        <v>7.28</v>
      </c>
      <c r="AF9" s="507">
        <v>7.7</v>
      </c>
      <c r="AG9" s="144">
        <v>7.5</v>
      </c>
      <c r="AH9" s="144">
        <v>7.4</v>
      </c>
      <c r="AI9" s="106">
        <v>6.7</v>
      </c>
      <c r="AJ9" s="175">
        <f t="shared" ref="AJ9:AJ43" si="3">AI9/AH9*100-100</f>
        <v>-9.4594594594594668</v>
      </c>
      <c r="AK9" s="17" t="s">
        <v>22</v>
      </c>
    </row>
    <row r="10" spans="1:37" ht="12.75" customHeight="1" x14ac:dyDescent="0.2">
      <c r="A10" s="15"/>
      <c r="B10" s="88" t="s">
        <v>5</v>
      </c>
      <c r="C10" s="150">
        <v>13.7</v>
      </c>
      <c r="D10" s="150">
        <v>17.68</v>
      </c>
      <c r="E10" s="150">
        <v>14.13</v>
      </c>
      <c r="F10" s="151">
        <v>8.6999999999999993</v>
      </c>
      <c r="G10" s="151">
        <v>7.76</v>
      </c>
      <c r="H10" s="151">
        <v>7.7</v>
      </c>
      <c r="I10" s="151">
        <v>7.77</v>
      </c>
      <c r="J10" s="151">
        <v>8.6</v>
      </c>
      <c r="K10" s="151">
        <v>7.5170000000000003</v>
      </c>
      <c r="L10" s="151">
        <v>7.4050000000000002</v>
      </c>
      <c r="M10" s="151">
        <v>6.1520000000000001</v>
      </c>
      <c r="N10" s="151">
        <v>5.2</v>
      </c>
      <c r="O10" s="151">
        <v>5.5380000000000003</v>
      </c>
      <c r="P10" s="151">
        <v>4.9000000000000004</v>
      </c>
      <c r="Q10" s="151">
        <v>4.6269999999999998</v>
      </c>
      <c r="R10" s="151">
        <v>5.274</v>
      </c>
      <c r="S10" s="151">
        <v>5.2110000000000003</v>
      </c>
      <c r="T10" s="151">
        <v>5.1630000000000003</v>
      </c>
      <c r="U10" s="151">
        <v>5.3959999999999999</v>
      </c>
      <c r="V10" s="151">
        <v>5.2409999999999997</v>
      </c>
      <c r="W10" s="151">
        <v>4.6929999999999996</v>
      </c>
      <c r="X10" s="151">
        <v>3.145</v>
      </c>
      <c r="Y10" s="151">
        <v>3.0640000000000001</v>
      </c>
      <c r="Z10" s="151">
        <v>3.2909999999999999</v>
      </c>
      <c r="AA10" s="151">
        <v>2.907</v>
      </c>
      <c r="AB10" s="151">
        <v>3.246</v>
      </c>
      <c r="AC10" s="151">
        <v>3.4390000000000001</v>
      </c>
      <c r="AD10" s="151">
        <v>3.65</v>
      </c>
      <c r="AE10" s="151">
        <v>3.4340000000000002</v>
      </c>
      <c r="AF10" s="151">
        <v>3.931</v>
      </c>
      <c r="AG10" s="151">
        <v>3.8239999999999998</v>
      </c>
      <c r="AH10" s="151">
        <v>3.9020000000000001</v>
      </c>
      <c r="AI10" s="151">
        <v>4.5030000000000001</v>
      </c>
      <c r="AJ10" s="339">
        <f t="shared" si="3"/>
        <v>15.402357765248581</v>
      </c>
      <c r="AK10" s="88" t="s">
        <v>5</v>
      </c>
    </row>
    <row r="11" spans="1:37" ht="12.75" customHeight="1" x14ac:dyDescent="0.2">
      <c r="A11" s="15"/>
      <c r="B11" s="17" t="s">
        <v>7</v>
      </c>
      <c r="C11" s="153"/>
      <c r="D11" s="153"/>
      <c r="E11" s="153"/>
      <c r="F11" s="154"/>
      <c r="G11" s="154"/>
      <c r="H11" s="154">
        <v>25.2</v>
      </c>
      <c r="I11" s="154">
        <v>22.8</v>
      </c>
      <c r="J11" s="154">
        <v>22.623000000000001</v>
      </c>
      <c r="K11" s="154">
        <v>22.338999999999999</v>
      </c>
      <c r="L11" s="154">
        <v>21.01</v>
      </c>
      <c r="M11" s="154">
        <v>18.709</v>
      </c>
      <c r="N11" s="154">
        <v>16.713000000000001</v>
      </c>
      <c r="O11" s="154">
        <v>17.495999999999999</v>
      </c>
      <c r="P11" s="154">
        <v>16.899999999999999</v>
      </c>
      <c r="Q11" s="154">
        <v>15.81</v>
      </c>
      <c r="R11" s="154">
        <v>15.862</v>
      </c>
      <c r="S11" s="154">
        <v>15.092000000000001</v>
      </c>
      <c r="T11" s="154">
        <v>14.866</v>
      </c>
      <c r="U11" s="154">
        <v>15.779</v>
      </c>
      <c r="V11" s="154">
        <v>16.303999999999998</v>
      </c>
      <c r="W11" s="154">
        <v>15.436999999999999</v>
      </c>
      <c r="X11" s="154">
        <v>12.791</v>
      </c>
      <c r="Y11" s="154">
        <v>13.77</v>
      </c>
      <c r="Z11" s="154">
        <v>14.316000000000001</v>
      </c>
      <c r="AA11" s="154">
        <v>14.266999999999999</v>
      </c>
      <c r="AB11" s="154">
        <v>13.965</v>
      </c>
      <c r="AC11" s="154">
        <v>14.574999999999999</v>
      </c>
      <c r="AD11" s="154">
        <v>15.260999999999999</v>
      </c>
      <c r="AE11" s="154">
        <v>15.619</v>
      </c>
      <c r="AF11" s="154">
        <v>15.843</v>
      </c>
      <c r="AG11" s="154">
        <v>16.564</v>
      </c>
      <c r="AH11" s="154">
        <v>16.18</v>
      </c>
      <c r="AI11" s="154">
        <v>15.250999999999999</v>
      </c>
      <c r="AJ11" s="175">
        <f t="shared" si="3"/>
        <v>-5.7416563658838129</v>
      </c>
      <c r="AK11" s="17" t="s">
        <v>7</v>
      </c>
    </row>
    <row r="12" spans="1:37" ht="12.75" customHeight="1" x14ac:dyDescent="0.2">
      <c r="A12" s="15"/>
      <c r="B12" s="88" t="s">
        <v>18</v>
      </c>
      <c r="C12" s="150">
        <v>1.7010000000000001</v>
      </c>
      <c r="D12" s="150">
        <v>1.619</v>
      </c>
      <c r="E12" s="150">
        <v>1.73</v>
      </c>
      <c r="F12" s="151">
        <v>1.8580000000000001</v>
      </c>
      <c r="G12" s="151">
        <v>1.87</v>
      </c>
      <c r="H12" s="151">
        <v>1.796</v>
      </c>
      <c r="I12" s="151">
        <v>2.008</v>
      </c>
      <c r="J12" s="151">
        <v>1.9850000000000001</v>
      </c>
      <c r="K12" s="151">
        <v>1.7569999999999999</v>
      </c>
      <c r="L12" s="151">
        <v>1.9830000000000001</v>
      </c>
      <c r="M12" s="151">
        <v>2.0579999999999998</v>
      </c>
      <c r="N12" s="151">
        <v>1.9379999999999999</v>
      </c>
      <c r="O12" s="151">
        <v>2.0249999999999999</v>
      </c>
      <c r="P12" s="151">
        <v>2.0910000000000002</v>
      </c>
      <c r="Q12" s="151">
        <v>1.877</v>
      </c>
      <c r="R12" s="151">
        <v>1.9850000000000001</v>
      </c>
      <c r="S12" s="151">
        <v>2.3210000000000002</v>
      </c>
      <c r="T12" s="151">
        <v>1.976</v>
      </c>
      <c r="U12" s="151">
        <v>1.8919999999999999</v>
      </c>
      <c r="V12" s="151">
        <v>1.7789999999999999</v>
      </c>
      <c r="W12" s="151">
        <v>1.8660000000000001</v>
      </c>
      <c r="X12" s="151">
        <v>1.7</v>
      </c>
      <c r="Y12" s="151">
        <v>2.2389999999999999</v>
      </c>
      <c r="Z12" s="151">
        <v>2.6139999999999999</v>
      </c>
      <c r="AA12" s="151">
        <v>2.278</v>
      </c>
      <c r="AB12" s="151">
        <v>2.4489999999999998</v>
      </c>
      <c r="AC12" s="151">
        <v>2.4529999999999998</v>
      </c>
      <c r="AD12" s="151">
        <v>2.6030000000000002</v>
      </c>
      <c r="AE12" s="151">
        <v>2.6160000000000001</v>
      </c>
      <c r="AF12" s="151">
        <v>2.653</v>
      </c>
      <c r="AG12" s="151">
        <v>2.5939999999999999</v>
      </c>
      <c r="AH12" s="151">
        <v>2.5249999999999999</v>
      </c>
      <c r="AI12" s="151">
        <v>2.4500000000000002</v>
      </c>
      <c r="AJ12" s="339">
        <f t="shared" si="3"/>
        <v>-2.9702970297029623</v>
      </c>
      <c r="AK12" s="88" t="s">
        <v>18</v>
      </c>
    </row>
    <row r="13" spans="1:37" ht="12.75" customHeight="1" x14ac:dyDescent="0.2">
      <c r="A13" s="15"/>
      <c r="B13" s="17" t="s">
        <v>23</v>
      </c>
      <c r="C13" s="153">
        <v>113</v>
      </c>
      <c r="D13" s="153">
        <v>121.3</v>
      </c>
      <c r="E13" s="153">
        <v>101.7</v>
      </c>
      <c r="F13" s="154">
        <v>82.2</v>
      </c>
      <c r="G13" s="154">
        <v>72.8</v>
      </c>
      <c r="H13" s="154">
        <v>65.599999999999994</v>
      </c>
      <c r="I13" s="154">
        <v>70.7</v>
      </c>
      <c r="J13" s="154">
        <v>70.5</v>
      </c>
      <c r="K13" s="154">
        <v>70</v>
      </c>
      <c r="L13" s="154">
        <v>73.900000000000006</v>
      </c>
      <c r="M13" s="154">
        <v>74.2</v>
      </c>
      <c r="N13" s="154">
        <v>76.822000000000003</v>
      </c>
      <c r="O13" s="154">
        <v>82.674999999999997</v>
      </c>
      <c r="P13" s="154">
        <v>81.042000000000002</v>
      </c>
      <c r="Q13" s="154">
        <v>81.058999999999997</v>
      </c>
      <c r="R13" s="154">
        <v>85.128</v>
      </c>
      <c r="S13" s="154">
        <v>86.409000000000006</v>
      </c>
      <c r="T13" s="154">
        <v>95.42</v>
      </c>
      <c r="U13" s="154">
        <v>107.00700000000001</v>
      </c>
      <c r="V13" s="154">
        <v>114.61499999999999</v>
      </c>
      <c r="W13" s="154">
        <v>115.652</v>
      </c>
      <c r="X13" s="154">
        <v>95.834000000000003</v>
      </c>
      <c r="Y13" s="154">
        <v>107.31699999999999</v>
      </c>
      <c r="Z13" s="154">
        <v>113.31699999999999</v>
      </c>
      <c r="AA13" s="154">
        <v>110.065</v>
      </c>
      <c r="AB13" s="154">
        <v>112.613</v>
      </c>
      <c r="AC13" s="154">
        <v>112.629</v>
      </c>
      <c r="AD13" s="435">
        <v>116.63200000000001</v>
      </c>
      <c r="AE13" s="192">
        <v>126.68600000000001</v>
      </c>
      <c r="AF13" s="192">
        <v>117.38200000000001</v>
      </c>
      <c r="AG13" s="192">
        <v>117.931</v>
      </c>
      <c r="AH13" s="192">
        <v>119.47</v>
      </c>
      <c r="AI13" s="192">
        <v>109.21899999999999</v>
      </c>
      <c r="AJ13" s="175">
        <f t="shared" si="3"/>
        <v>-8.5803967523227556</v>
      </c>
      <c r="AK13" s="17" t="s">
        <v>23</v>
      </c>
    </row>
    <row r="14" spans="1:37" ht="12.75" customHeight="1" x14ac:dyDescent="0.2">
      <c r="A14" s="15"/>
      <c r="B14" s="88" t="s">
        <v>8</v>
      </c>
      <c r="C14" s="155">
        <v>5.7</v>
      </c>
      <c r="D14" s="155">
        <v>6.5</v>
      </c>
      <c r="E14" s="155">
        <v>6.98</v>
      </c>
      <c r="F14" s="156">
        <v>6.5</v>
      </c>
      <c r="G14" s="156">
        <v>3.4</v>
      </c>
      <c r="H14" s="156">
        <v>4.2</v>
      </c>
      <c r="I14" s="156">
        <v>3.6</v>
      </c>
      <c r="J14" s="156">
        <v>3.8450000000000002</v>
      </c>
      <c r="K14" s="156">
        <v>4.1980000000000004</v>
      </c>
      <c r="L14" s="156">
        <v>5.1020000000000003</v>
      </c>
      <c r="M14" s="156">
        <v>6.0789999999999997</v>
      </c>
      <c r="N14" s="156">
        <v>7.2949999999999999</v>
      </c>
      <c r="O14" s="156">
        <v>8.1020000000000003</v>
      </c>
      <c r="P14" s="151">
        <v>8.5570000000000004</v>
      </c>
      <c r="Q14" s="157">
        <v>9.6969999999999992</v>
      </c>
      <c r="R14" s="151">
        <v>9.67</v>
      </c>
      <c r="S14" s="156">
        <v>10.488</v>
      </c>
      <c r="T14" s="156">
        <v>10.638999999999999</v>
      </c>
      <c r="U14" s="156">
        <v>10.417999999999999</v>
      </c>
      <c r="V14" s="156">
        <v>8.43</v>
      </c>
      <c r="W14" s="156">
        <v>5.9429999999999996</v>
      </c>
      <c r="X14" s="156">
        <v>5.9470000000000001</v>
      </c>
      <c r="Y14" s="156">
        <v>6.6379999999999999</v>
      </c>
      <c r="Z14" s="156">
        <v>6.2709999999999999</v>
      </c>
      <c r="AA14" s="156">
        <v>5.1289999999999996</v>
      </c>
      <c r="AB14" s="156">
        <v>4.7220000000000004</v>
      </c>
      <c r="AC14" s="156">
        <v>3.2559999999999998</v>
      </c>
      <c r="AD14" s="156">
        <v>3.117</v>
      </c>
      <c r="AE14" s="156">
        <v>2.34</v>
      </c>
      <c r="AF14" s="156">
        <v>2.3250000000000002</v>
      </c>
      <c r="AG14" s="156">
        <v>2.5880000000000001</v>
      </c>
      <c r="AH14" s="156">
        <v>2.1549999999999998</v>
      </c>
      <c r="AI14" s="156">
        <v>1.7290000000000001</v>
      </c>
      <c r="AJ14" s="339">
        <f t="shared" si="3"/>
        <v>-19.767981438515065</v>
      </c>
      <c r="AK14" s="88" t="s">
        <v>8</v>
      </c>
    </row>
    <row r="15" spans="1:37" ht="12.75" customHeight="1" x14ac:dyDescent="0.2">
      <c r="A15" s="15"/>
      <c r="B15" s="17" t="s">
        <v>26</v>
      </c>
      <c r="C15" s="147">
        <v>0.54500000000000004</v>
      </c>
      <c r="D15" s="147">
        <v>0.63700000000000001</v>
      </c>
      <c r="E15" s="147">
        <v>0.58899999999999997</v>
      </c>
      <c r="F15" s="148">
        <v>0.60299999999999998</v>
      </c>
      <c r="G15" s="148">
        <v>0.63300000000000001</v>
      </c>
      <c r="H15" s="148">
        <v>0.57499999999999996</v>
      </c>
      <c r="I15" s="148">
        <v>0.56899999999999995</v>
      </c>
      <c r="J15" s="148">
        <v>0.60199999999999998</v>
      </c>
      <c r="K15" s="148">
        <v>0.56999999999999995</v>
      </c>
      <c r="L15" s="148">
        <v>0.52200000000000002</v>
      </c>
      <c r="M15" s="148">
        <v>0.46600000000000003</v>
      </c>
      <c r="N15" s="148">
        <v>0.52600000000000002</v>
      </c>
      <c r="O15" s="148">
        <v>0.49099999999999999</v>
      </c>
      <c r="P15" s="148">
        <v>0.51600000000000001</v>
      </c>
      <c r="Q15" s="148">
        <v>0.42599999999999999</v>
      </c>
      <c r="R15" s="148">
        <v>0.39800000000000002</v>
      </c>
      <c r="S15" s="148">
        <v>0.39900000000000002</v>
      </c>
      <c r="T15" s="148">
        <v>0.30299999999999999</v>
      </c>
      <c r="U15" s="148">
        <v>0.20499999999999999</v>
      </c>
      <c r="V15" s="148">
        <v>0.129</v>
      </c>
      <c r="W15" s="148">
        <v>0.10299999999999999</v>
      </c>
      <c r="X15" s="148">
        <v>7.9000000000000001E-2</v>
      </c>
      <c r="Y15" s="148">
        <v>9.1999999999999998E-2</v>
      </c>
      <c r="Z15" s="148">
        <v>0.105</v>
      </c>
      <c r="AA15" s="148">
        <v>9.0999999999999998E-2</v>
      </c>
      <c r="AB15" s="148">
        <v>9.9000000000000005E-2</v>
      </c>
      <c r="AC15" s="148">
        <v>0.1</v>
      </c>
      <c r="AD15" s="148">
        <v>9.6000000000000002E-2</v>
      </c>
      <c r="AE15" s="148">
        <v>0.10100000000000001</v>
      </c>
      <c r="AF15" s="148">
        <v>0.1</v>
      </c>
      <c r="AG15" s="148">
        <v>8.8999999999999996E-2</v>
      </c>
      <c r="AH15" s="148">
        <v>7.1999999999999995E-2</v>
      </c>
      <c r="AI15" s="148">
        <v>7.3999999999999996E-2</v>
      </c>
      <c r="AJ15" s="175">
        <f t="shared" si="3"/>
        <v>2.7777777777777857</v>
      </c>
      <c r="AK15" s="17" t="s">
        <v>26</v>
      </c>
    </row>
    <row r="16" spans="1:37" ht="12.75" customHeight="1" x14ac:dyDescent="0.2">
      <c r="A16" s="15"/>
      <c r="B16" s="88" t="s">
        <v>19</v>
      </c>
      <c r="C16" s="158">
        <v>0.68799999999999994</v>
      </c>
      <c r="D16" s="158">
        <v>0.81399999999999995</v>
      </c>
      <c r="E16" s="158">
        <v>0.60899999999999999</v>
      </c>
      <c r="F16" s="159">
        <v>0.56100000000000005</v>
      </c>
      <c r="G16" s="159">
        <v>0.52700000000000002</v>
      </c>
      <c r="H16" s="159">
        <v>0.503</v>
      </c>
      <c r="I16" s="159">
        <v>0.31</v>
      </c>
      <c r="J16" s="159">
        <v>0.29199999999999998</v>
      </c>
      <c r="K16" s="159">
        <v>0.33700000000000002</v>
      </c>
      <c r="L16" s="159">
        <v>0.317</v>
      </c>
      <c r="M16" s="159">
        <v>0.32600000000000001</v>
      </c>
      <c r="N16" s="159">
        <v>0.32600000000000001</v>
      </c>
      <c r="O16" s="159">
        <v>0.42699999999999999</v>
      </c>
      <c r="P16" s="159">
        <v>0.38</v>
      </c>
      <c r="Q16" s="159">
        <v>0.32700000000000001</v>
      </c>
      <c r="R16" s="151">
        <v>0.45600000000000002</v>
      </c>
      <c r="S16" s="156">
        <v>0.59199999999999997</v>
      </c>
      <c r="T16" s="156">
        <v>0.61299999999999999</v>
      </c>
      <c r="U16" s="156">
        <v>0.66200000000000003</v>
      </c>
      <c r="V16" s="151">
        <v>0.83499999999999996</v>
      </c>
      <c r="W16" s="151">
        <v>0.78600000000000003</v>
      </c>
      <c r="X16" s="151">
        <v>0.55200000000000005</v>
      </c>
      <c r="Y16" s="151">
        <v>0.61399999999999999</v>
      </c>
      <c r="Z16" s="151">
        <v>0.35199999999999998</v>
      </c>
      <c r="AA16" s="151">
        <v>0.28299999999999997</v>
      </c>
      <c r="AB16" s="151">
        <v>0.23699999999999999</v>
      </c>
      <c r="AC16" s="151">
        <v>0.311</v>
      </c>
      <c r="AD16" s="151">
        <v>0.29399999999999998</v>
      </c>
      <c r="AE16" s="151">
        <v>0.254</v>
      </c>
      <c r="AF16" s="151">
        <v>0.35799999999999998</v>
      </c>
      <c r="AG16" s="151">
        <v>0.40799999999999997</v>
      </c>
      <c r="AH16" s="151">
        <v>0.49099999999999999</v>
      </c>
      <c r="AI16" s="151">
        <v>0.55500000000000005</v>
      </c>
      <c r="AJ16" s="339">
        <f t="shared" si="3"/>
        <v>13.034623217922615</v>
      </c>
      <c r="AK16" s="339" t="s">
        <v>19</v>
      </c>
    </row>
    <row r="17" spans="1:37" ht="12.75" customHeight="1" x14ac:dyDescent="0.2">
      <c r="A17" s="15"/>
      <c r="B17" s="17" t="s">
        <v>24</v>
      </c>
      <c r="C17" s="160">
        <v>9.7409999999999997</v>
      </c>
      <c r="D17" s="160">
        <v>11.281000000000001</v>
      </c>
      <c r="E17" s="160">
        <v>11.153</v>
      </c>
      <c r="F17" s="161">
        <v>10.462</v>
      </c>
      <c r="G17" s="161">
        <v>9.2050000000000001</v>
      </c>
      <c r="H17" s="161">
        <v>7.8360000000000003</v>
      </c>
      <c r="I17" s="161">
        <v>9.0890000000000004</v>
      </c>
      <c r="J17" s="161">
        <v>10.955</v>
      </c>
      <c r="K17" s="161">
        <v>11.125</v>
      </c>
      <c r="L17" s="161">
        <v>12.510999999999999</v>
      </c>
      <c r="M17" s="161">
        <v>11.321999999999999</v>
      </c>
      <c r="N17" s="161">
        <v>11.487</v>
      </c>
      <c r="O17" s="269">
        <v>12.170999999999999</v>
      </c>
      <c r="P17" s="161">
        <v>12.321999999999999</v>
      </c>
      <c r="Q17" s="161">
        <v>12.247</v>
      </c>
      <c r="R17" s="161">
        <v>12.411</v>
      </c>
      <c r="S17" s="161">
        <v>12.436</v>
      </c>
      <c r="T17" s="161">
        <v>11.585000000000001</v>
      </c>
      <c r="U17" s="161">
        <v>11.541</v>
      </c>
      <c r="V17" s="161">
        <v>11.237</v>
      </c>
      <c r="W17" s="161">
        <v>10.971</v>
      </c>
      <c r="X17" s="161">
        <v>7.806</v>
      </c>
      <c r="Y17" s="161">
        <v>8.9130000000000003</v>
      </c>
      <c r="Z17" s="161">
        <v>9.4510000000000005</v>
      </c>
      <c r="AA17" s="161">
        <v>9.4580000000000002</v>
      </c>
      <c r="AB17" s="161">
        <v>9.3379999999999992</v>
      </c>
      <c r="AC17" s="161">
        <v>10.385</v>
      </c>
      <c r="AD17" s="161">
        <v>11.028</v>
      </c>
      <c r="AE17" s="161">
        <v>10.55</v>
      </c>
      <c r="AF17" s="161">
        <v>10.548999999999999</v>
      </c>
      <c r="AG17" s="161">
        <v>10.65</v>
      </c>
      <c r="AH17" s="161">
        <v>10.71</v>
      </c>
      <c r="AI17" s="161">
        <v>8.92</v>
      </c>
      <c r="AJ17" s="175">
        <f t="shared" si="3"/>
        <v>-16.713352007469666</v>
      </c>
      <c r="AK17" s="17" t="s">
        <v>24</v>
      </c>
    </row>
    <row r="18" spans="1:37" ht="12.75" customHeight="1" x14ac:dyDescent="0.2">
      <c r="A18" s="15"/>
      <c r="B18" s="88" t="s">
        <v>25</v>
      </c>
      <c r="C18" s="155">
        <v>67.585999999999999</v>
      </c>
      <c r="D18" s="155">
        <v>68.814999999999998</v>
      </c>
      <c r="E18" s="155">
        <v>52.24</v>
      </c>
      <c r="F18" s="156">
        <v>52.430011</v>
      </c>
      <c r="G18" s="156">
        <v>51.180591</v>
      </c>
      <c r="H18" s="156">
        <v>45.582509000000002</v>
      </c>
      <c r="I18" s="156">
        <v>48.871257999999997</v>
      </c>
      <c r="J18" s="156">
        <v>48.266067999999997</v>
      </c>
      <c r="K18" s="156">
        <v>50.113</v>
      </c>
      <c r="L18" s="156">
        <v>54.246000000000002</v>
      </c>
      <c r="M18" s="156">
        <v>54.099525000000007</v>
      </c>
      <c r="N18" s="156">
        <v>54.53801500294</v>
      </c>
      <c r="O18" s="156">
        <v>57.72575464222399</v>
      </c>
      <c r="P18" s="156">
        <v>51.718302252257004</v>
      </c>
      <c r="Q18" s="156">
        <v>51.288192553031003</v>
      </c>
      <c r="R18" s="156">
        <v>48.057268754624005</v>
      </c>
      <c r="S18" s="156">
        <v>45.121000000000002</v>
      </c>
      <c r="T18" s="156">
        <v>40.701000000000001</v>
      </c>
      <c r="U18" s="156">
        <v>41.179000000000002</v>
      </c>
      <c r="V18" s="156">
        <v>42.612000000000002</v>
      </c>
      <c r="W18" s="156">
        <v>40.436</v>
      </c>
      <c r="X18" s="156">
        <v>32.128999999999998</v>
      </c>
      <c r="Y18" s="156">
        <v>29.965</v>
      </c>
      <c r="Z18" s="156">
        <v>34.201999999999998</v>
      </c>
      <c r="AA18" s="156">
        <v>32.539000000000001</v>
      </c>
      <c r="AB18" s="156">
        <v>32.229999999999997</v>
      </c>
      <c r="AC18" s="156">
        <v>32.595999999999997</v>
      </c>
      <c r="AD18" s="156">
        <v>36.328000000000003</v>
      </c>
      <c r="AE18" s="156">
        <v>34.761000000000003</v>
      </c>
      <c r="AF18" s="156">
        <v>35.655000000000001</v>
      </c>
      <c r="AG18" s="156">
        <v>34.061</v>
      </c>
      <c r="AH18" s="156">
        <v>33.670999999999999</v>
      </c>
      <c r="AI18" s="156">
        <v>31.559000000000001</v>
      </c>
      <c r="AJ18" s="339">
        <f t="shared" si="3"/>
        <v>-6.2724599803985654</v>
      </c>
      <c r="AK18" s="88" t="s">
        <v>25</v>
      </c>
    </row>
    <row r="19" spans="1:37" ht="12.75" customHeight="1" x14ac:dyDescent="0.2">
      <c r="A19" s="15"/>
      <c r="B19" s="17" t="s">
        <v>36</v>
      </c>
      <c r="C19" s="114"/>
      <c r="D19" s="114"/>
      <c r="E19" s="114" t="s">
        <v>34</v>
      </c>
      <c r="F19" s="57"/>
      <c r="G19" s="57"/>
      <c r="H19" s="57"/>
      <c r="I19" s="57"/>
      <c r="J19" s="57">
        <v>1.974</v>
      </c>
      <c r="K19" s="57">
        <v>1.7170000000000001</v>
      </c>
      <c r="L19" s="57">
        <v>1.7150000000000001</v>
      </c>
      <c r="M19" s="141">
        <v>1.831</v>
      </c>
      <c r="N19" s="57">
        <v>1.6850000000000001</v>
      </c>
      <c r="O19" s="57">
        <v>1.788</v>
      </c>
      <c r="P19" s="57">
        <v>2.0739999999999998</v>
      </c>
      <c r="Q19" s="57">
        <v>2.206</v>
      </c>
      <c r="R19" s="57">
        <v>2.4870000000000001</v>
      </c>
      <c r="S19" s="57">
        <v>2.4929999999999999</v>
      </c>
      <c r="T19" s="57">
        <v>2.835</v>
      </c>
      <c r="U19" s="57">
        <v>3.3050000000000002</v>
      </c>
      <c r="V19" s="57">
        <v>3.5739999999999998</v>
      </c>
      <c r="W19" s="57">
        <v>3.3119999999999998</v>
      </c>
      <c r="X19" s="57">
        <v>2.641</v>
      </c>
      <c r="Y19" s="57">
        <v>2.6179999999999999</v>
      </c>
      <c r="Z19" s="57">
        <v>2.4380000000000002</v>
      </c>
      <c r="AA19" s="57">
        <v>2.3319999999999999</v>
      </c>
      <c r="AB19" s="57">
        <v>2.0859999999999999</v>
      </c>
      <c r="AC19" s="57">
        <v>2.1190000000000002</v>
      </c>
      <c r="AD19" s="57">
        <v>2.1840000000000002</v>
      </c>
      <c r="AE19" s="57">
        <v>2.16</v>
      </c>
      <c r="AF19" s="57">
        <v>2.5920000000000001</v>
      </c>
      <c r="AG19" s="57">
        <v>2.7429999999999999</v>
      </c>
      <c r="AH19" s="57">
        <v>2.911</v>
      </c>
      <c r="AI19" s="57">
        <v>3.2789999999999999</v>
      </c>
      <c r="AJ19" s="175">
        <f t="shared" si="3"/>
        <v>12.641703881827553</v>
      </c>
      <c r="AK19" s="17" t="s">
        <v>36</v>
      </c>
    </row>
    <row r="20" spans="1:37" ht="12.75" customHeight="1" x14ac:dyDescent="0.2">
      <c r="A20" s="15"/>
      <c r="B20" s="88" t="s">
        <v>27</v>
      </c>
      <c r="C20" s="158">
        <v>18.068999999999999</v>
      </c>
      <c r="D20" s="158">
        <v>18.384</v>
      </c>
      <c r="E20" s="158">
        <v>19.361000000000001</v>
      </c>
      <c r="F20" s="159">
        <v>19.963000000000001</v>
      </c>
      <c r="G20" s="159">
        <v>19.266999999999999</v>
      </c>
      <c r="H20" s="159">
        <v>18.12</v>
      </c>
      <c r="I20" s="159">
        <v>20.425000000000001</v>
      </c>
      <c r="J20" s="159">
        <v>21.69</v>
      </c>
      <c r="K20" s="159">
        <v>21.033999999999999</v>
      </c>
      <c r="L20" s="159">
        <v>22.902999999999999</v>
      </c>
      <c r="M20" s="159">
        <v>22.454000000000001</v>
      </c>
      <c r="N20" s="159">
        <v>21.548999999999999</v>
      </c>
      <c r="O20" s="159">
        <v>22.817</v>
      </c>
      <c r="P20" s="159">
        <v>21.762</v>
      </c>
      <c r="Q20" s="151">
        <v>20.678999999999998</v>
      </c>
      <c r="R20" s="151">
        <v>20.298999999999999</v>
      </c>
      <c r="S20" s="151">
        <v>22.183</v>
      </c>
      <c r="T20" s="151">
        <v>22.760999999999999</v>
      </c>
      <c r="U20" s="151">
        <v>24.151</v>
      </c>
      <c r="V20" s="151">
        <v>25.285</v>
      </c>
      <c r="W20" s="151">
        <v>23.831</v>
      </c>
      <c r="X20" s="151">
        <v>17.791</v>
      </c>
      <c r="Y20" s="151">
        <v>18.616</v>
      </c>
      <c r="Z20" s="151">
        <v>19.786999999999999</v>
      </c>
      <c r="AA20" s="151">
        <v>20.244</v>
      </c>
      <c r="AB20" s="151">
        <v>19.036999999999999</v>
      </c>
      <c r="AC20" s="151">
        <v>20.157</v>
      </c>
      <c r="AD20" s="151">
        <v>20.780999999999999</v>
      </c>
      <c r="AE20" s="151">
        <v>22.712</v>
      </c>
      <c r="AF20" s="151">
        <v>22.335000000000001</v>
      </c>
      <c r="AG20" s="151">
        <v>22.07</v>
      </c>
      <c r="AH20" s="151">
        <v>21.309000000000001</v>
      </c>
      <c r="AI20" s="151">
        <v>20.75</v>
      </c>
      <c r="AJ20" s="339">
        <f t="shared" si="3"/>
        <v>-2.62330470693135</v>
      </c>
      <c r="AK20" s="88" t="s">
        <v>27</v>
      </c>
    </row>
    <row r="21" spans="1:37" ht="12.75" customHeight="1" x14ac:dyDescent="0.2">
      <c r="A21" s="15"/>
      <c r="B21" s="17" t="s">
        <v>6</v>
      </c>
      <c r="C21" s="114" t="s">
        <v>35</v>
      </c>
      <c r="D21" s="114" t="s">
        <v>35</v>
      </c>
      <c r="E21" s="114" t="s">
        <v>35</v>
      </c>
      <c r="F21" s="57" t="s">
        <v>35</v>
      </c>
      <c r="G21" s="57" t="s">
        <v>35</v>
      </c>
      <c r="H21" s="57" t="s">
        <v>35</v>
      </c>
      <c r="I21" s="57" t="s">
        <v>35</v>
      </c>
      <c r="J21" s="57" t="s">
        <v>35</v>
      </c>
      <c r="K21" s="57" t="s">
        <v>35</v>
      </c>
      <c r="L21" s="57" t="s">
        <v>35</v>
      </c>
      <c r="M21" s="57" t="s">
        <v>35</v>
      </c>
      <c r="N21" s="57" t="s">
        <v>35</v>
      </c>
      <c r="O21" s="57" t="s">
        <v>35</v>
      </c>
      <c r="P21" s="57" t="s">
        <v>35</v>
      </c>
      <c r="Q21" s="57" t="s">
        <v>35</v>
      </c>
      <c r="R21" s="57" t="s">
        <v>35</v>
      </c>
      <c r="S21" s="57" t="s">
        <v>35</v>
      </c>
      <c r="T21" s="57" t="s">
        <v>35</v>
      </c>
      <c r="U21" s="57" t="s">
        <v>35</v>
      </c>
      <c r="V21" s="57" t="s">
        <v>35</v>
      </c>
      <c r="W21" s="57" t="s">
        <v>35</v>
      </c>
      <c r="X21" s="57" t="s">
        <v>35</v>
      </c>
      <c r="Y21" s="57" t="s">
        <v>35</v>
      </c>
      <c r="Z21" s="57" t="s">
        <v>35</v>
      </c>
      <c r="AA21" s="57" t="s">
        <v>35</v>
      </c>
      <c r="AB21" s="154" t="s">
        <v>35</v>
      </c>
      <c r="AC21" s="154" t="s">
        <v>35</v>
      </c>
      <c r="AD21" s="154" t="s">
        <v>35</v>
      </c>
      <c r="AE21" s="154" t="s">
        <v>35</v>
      </c>
      <c r="AF21" s="154" t="s">
        <v>35</v>
      </c>
      <c r="AG21" s="154" t="s">
        <v>35</v>
      </c>
      <c r="AH21" s="154" t="s">
        <v>35</v>
      </c>
      <c r="AI21" s="174" t="s">
        <v>35</v>
      </c>
      <c r="AJ21" s="154" t="s">
        <v>35</v>
      </c>
      <c r="AK21" s="17" t="s">
        <v>6</v>
      </c>
    </row>
    <row r="22" spans="1:37" ht="12.75" customHeight="1" x14ac:dyDescent="0.2">
      <c r="A22" s="15"/>
      <c r="B22" s="88" t="s">
        <v>10</v>
      </c>
      <c r="C22" s="150">
        <v>15.52</v>
      </c>
      <c r="D22" s="150">
        <v>17.59</v>
      </c>
      <c r="E22" s="150">
        <v>18.54</v>
      </c>
      <c r="F22" s="151">
        <v>16.7</v>
      </c>
      <c r="G22" s="151">
        <v>10.119999999999999</v>
      </c>
      <c r="H22" s="151">
        <v>9.85</v>
      </c>
      <c r="I22" s="151">
        <v>9.52</v>
      </c>
      <c r="J22" s="151">
        <v>9.76</v>
      </c>
      <c r="K22" s="151">
        <v>12.413</v>
      </c>
      <c r="L22" s="151">
        <v>13.97</v>
      </c>
      <c r="M22" s="151">
        <v>12.996</v>
      </c>
      <c r="N22" s="151">
        <v>12.21</v>
      </c>
      <c r="O22" s="151">
        <v>13.31</v>
      </c>
      <c r="P22" s="151">
        <v>14.18</v>
      </c>
      <c r="Q22" s="151">
        <v>15.02</v>
      </c>
      <c r="R22" s="151">
        <v>17.954999999999998</v>
      </c>
      <c r="S22" s="151">
        <v>18.617999999999999</v>
      </c>
      <c r="T22" s="151">
        <v>19.779</v>
      </c>
      <c r="U22" s="151">
        <v>16.831</v>
      </c>
      <c r="V22" s="151">
        <v>18.312999999999999</v>
      </c>
      <c r="W22" s="151">
        <v>19.581</v>
      </c>
      <c r="X22" s="151">
        <v>18.725000000000001</v>
      </c>
      <c r="Y22" s="151">
        <v>17.178999999999998</v>
      </c>
      <c r="Z22" s="151">
        <v>21.41</v>
      </c>
      <c r="AA22" s="151">
        <v>21.867000000000001</v>
      </c>
      <c r="AB22" s="151">
        <v>19.532</v>
      </c>
      <c r="AC22" s="151">
        <v>19.440999999999999</v>
      </c>
      <c r="AD22" s="151">
        <v>18.905999999999999</v>
      </c>
      <c r="AE22" s="151">
        <v>15.872999999999999</v>
      </c>
      <c r="AF22" s="151">
        <v>15.013999999999999</v>
      </c>
      <c r="AG22" s="151">
        <v>17.859000000000002</v>
      </c>
      <c r="AH22" s="151">
        <v>15.019</v>
      </c>
      <c r="AI22" s="151">
        <v>7.9790000000000001</v>
      </c>
      <c r="AJ22" s="339">
        <f t="shared" si="3"/>
        <v>-46.873959651108599</v>
      </c>
      <c r="AK22" s="88" t="s">
        <v>10</v>
      </c>
    </row>
    <row r="23" spans="1:37" ht="12.75" customHeight="1" x14ac:dyDescent="0.2">
      <c r="A23" s="15"/>
      <c r="B23" s="17" t="s">
        <v>11</v>
      </c>
      <c r="C23" s="114">
        <v>13.57</v>
      </c>
      <c r="D23" s="114">
        <v>18.239999999999998</v>
      </c>
      <c r="E23" s="114">
        <v>19.260000000000002</v>
      </c>
      <c r="F23" s="57">
        <v>17.7</v>
      </c>
      <c r="G23" s="57">
        <v>11.34</v>
      </c>
      <c r="H23" s="57">
        <v>9.9</v>
      </c>
      <c r="I23" s="57">
        <v>8</v>
      </c>
      <c r="J23" s="57">
        <v>7.2</v>
      </c>
      <c r="K23" s="57">
        <v>8.1029999999999998</v>
      </c>
      <c r="L23" s="57">
        <v>8.6219999999999999</v>
      </c>
      <c r="M23" s="57">
        <v>8.2650000000000006</v>
      </c>
      <c r="N23" s="57">
        <v>7.8490000000000002</v>
      </c>
      <c r="O23" s="57">
        <v>8.9179999999999993</v>
      </c>
      <c r="P23" s="57">
        <v>7.7409999999999997</v>
      </c>
      <c r="Q23" s="57">
        <v>9.7669999999999995</v>
      </c>
      <c r="R23" s="57">
        <v>11.457000000000001</v>
      </c>
      <c r="S23" s="57">
        <v>11.637</v>
      </c>
      <c r="T23" s="57">
        <v>12.457000000000001</v>
      </c>
      <c r="U23" s="57">
        <v>12.896000000000001</v>
      </c>
      <c r="V23" s="57">
        <v>14.372999999999999</v>
      </c>
      <c r="W23" s="57">
        <v>14.747999999999999</v>
      </c>
      <c r="X23" s="57">
        <v>11.888</v>
      </c>
      <c r="Y23" s="57">
        <v>13.430999999999999</v>
      </c>
      <c r="Z23" s="57">
        <v>15.087999999999999</v>
      </c>
      <c r="AA23" s="57">
        <v>14.172000000000001</v>
      </c>
      <c r="AB23" s="57">
        <v>13.343999999999999</v>
      </c>
      <c r="AC23" s="57">
        <v>14.307</v>
      </c>
      <c r="AD23" s="57">
        <v>14.036</v>
      </c>
      <c r="AE23" s="57">
        <v>13.79</v>
      </c>
      <c r="AF23" s="57">
        <v>15.414</v>
      </c>
      <c r="AG23" s="57">
        <v>16.885000000000002</v>
      </c>
      <c r="AH23" s="57">
        <v>16.181000000000001</v>
      </c>
      <c r="AI23" s="57">
        <v>15.865</v>
      </c>
      <c r="AJ23" s="175">
        <f t="shared" si="3"/>
        <v>-1.952907731289784</v>
      </c>
      <c r="AK23" s="17" t="s">
        <v>11</v>
      </c>
    </row>
    <row r="24" spans="1:37" ht="12.75" customHeight="1" x14ac:dyDescent="0.2">
      <c r="A24" s="15"/>
      <c r="B24" s="88" t="s">
        <v>28</v>
      </c>
      <c r="C24" s="150">
        <v>0.76300000000000001</v>
      </c>
      <c r="D24" s="150">
        <v>0.66500000000000004</v>
      </c>
      <c r="E24" s="150">
        <v>0.61499999999999999</v>
      </c>
      <c r="F24" s="151">
        <v>0.622</v>
      </c>
      <c r="G24" s="151">
        <v>0.59699999999999998</v>
      </c>
      <c r="H24" s="151">
        <v>0.60699999999999998</v>
      </c>
      <c r="I24" s="151">
        <v>0.64500000000000002</v>
      </c>
      <c r="J24" s="151">
        <v>0.52900000000000003</v>
      </c>
      <c r="K24" s="151">
        <v>0.53</v>
      </c>
      <c r="L24" s="151">
        <v>0.56599999999999995</v>
      </c>
      <c r="M24" s="151">
        <v>0.57399999999999995</v>
      </c>
      <c r="N24" s="151">
        <v>0.60799999999999998</v>
      </c>
      <c r="O24" s="151">
        <v>0.63200000000000001</v>
      </c>
      <c r="P24" s="151">
        <v>0.58499999999999996</v>
      </c>
      <c r="Q24" s="151">
        <v>0.55000000000000004</v>
      </c>
      <c r="R24" s="151">
        <v>0.52500000000000002</v>
      </c>
      <c r="S24" s="151">
        <v>0.55900000000000005</v>
      </c>
      <c r="T24" s="151">
        <v>0.39200000000000002</v>
      </c>
      <c r="U24" s="151">
        <v>0.441</v>
      </c>
      <c r="V24" s="151">
        <v>0.57399999999999995</v>
      </c>
      <c r="W24" s="151">
        <v>0.27900000000000003</v>
      </c>
      <c r="X24" s="151">
        <v>0.2</v>
      </c>
      <c r="Y24" s="151">
        <v>0.32300000000000001</v>
      </c>
      <c r="Z24" s="151">
        <v>0.28799999999999998</v>
      </c>
      <c r="AA24" s="156">
        <v>0.23100000000000001</v>
      </c>
      <c r="AB24" s="156">
        <v>0.218</v>
      </c>
      <c r="AC24" s="156">
        <v>0.20799999999999999</v>
      </c>
      <c r="AD24" s="156">
        <v>0.20699999999999999</v>
      </c>
      <c r="AE24" s="156">
        <v>0.20100000000000001</v>
      </c>
      <c r="AF24" s="156">
        <v>0.21299999999999999</v>
      </c>
      <c r="AG24" s="156">
        <v>0.223</v>
      </c>
      <c r="AH24" s="156">
        <v>0.191</v>
      </c>
      <c r="AI24" s="156">
        <v>0.16200000000000001</v>
      </c>
      <c r="AJ24" s="339">
        <f t="shared" si="3"/>
        <v>-15.183246073298434</v>
      </c>
      <c r="AK24" s="88" t="s">
        <v>28</v>
      </c>
    </row>
    <row r="25" spans="1:37" ht="12.75" customHeight="1" x14ac:dyDescent="0.2">
      <c r="A25" s="15"/>
      <c r="B25" s="17" t="s">
        <v>9</v>
      </c>
      <c r="C25" s="153">
        <v>19.82</v>
      </c>
      <c r="D25" s="153">
        <v>24.4</v>
      </c>
      <c r="E25" s="153">
        <v>16.8</v>
      </c>
      <c r="F25" s="154">
        <v>11.9</v>
      </c>
      <c r="G25" s="154">
        <v>10</v>
      </c>
      <c r="H25" s="154">
        <v>7.7</v>
      </c>
      <c r="I25" s="154">
        <v>7.7</v>
      </c>
      <c r="J25" s="154">
        <v>8.4</v>
      </c>
      <c r="K25" s="154">
        <v>7.6</v>
      </c>
      <c r="L25" s="154">
        <v>8.1470000000000002</v>
      </c>
      <c r="M25" s="154">
        <v>8.15</v>
      </c>
      <c r="N25" s="154">
        <v>8.5</v>
      </c>
      <c r="O25" s="154">
        <v>8.8000000000000007</v>
      </c>
      <c r="P25" s="154">
        <v>7.7</v>
      </c>
      <c r="Q25" s="154">
        <v>7.8</v>
      </c>
      <c r="R25" s="154">
        <v>7.6139999999999999</v>
      </c>
      <c r="S25" s="154">
        <v>8.7490000000000006</v>
      </c>
      <c r="T25" s="154">
        <v>9.09</v>
      </c>
      <c r="U25" s="154">
        <v>10.167</v>
      </c>
      <c r="V25" s="154">
        <v>10.048</v>
      </c>
      <c r="W25" s="154">
        <v>9.8740000000000006</v>
      </c>
      <c r="X25" s="154">
        <v>7.673</v>
      </c>
      <c r="Y25" s="154">
        <v>8.8089999999999993</v>
      </c>
      <c r="Z25" s="154">
        <v>9.1180000000000003</v>
      </c>
      <c r="AA25" s="154">
        <v>9.23</v>
      </c>
      <c r="AB25" s="154">
        <v>9.7219999999999995</v>
      </c>
      <c r="AC25" s="154">
        <v>10.157999999999999</v>
      </c>
      <c r="AD25" s="154">
        <v>10.01</v>
      </c>
      <c r="AE25" s="154">
        <v>10.528</v>
      </c>
      <c r="AF25" s="154">
        <v>13.356</v>
      </c>
      <c r="AG25" s="154">
        <v>10.584</v>
      </c>
      <c r="AH25" s="154">
        <v>10.625</v>
      </c>
      <c r="AI25" s="154">
        <v>11.595000000000001</v>
      </c>
      <c r="AJ25" s="175">
        <f t="shared" si="3"/>
        <v>9.1294117647058926</v>
      </c>
      <c r="AK25" s="17" t="s">
        <v>9</v>
      </c>
    </row>
    <row r="26" spans="1:37" ht="12.75" customHeight="1" x14ac:dyDescent="0.2">
      <c r="A26" s="15"/>
      <c r="B26" s="56" t="s">
        <v>12</v>
      </c>
      <c r="C26" s="158" t="s">
        <v>35</v>
      </c>
      <c r="D26" s="158" t="s">
        <v>35</v>
      </c>
      <c r="E26" s="158" t="s">
        <v>35</v>
      </c>
      <c r="F26" s="159" t="s">
        <v>35</v>
      </c>
      <c r="G26" s="159" t="s">
        <v>35</v>
      </c>
      <c r="H26" s="159" t="s">
        <v>35</v>
      </c>
      <c r="I26" s="159" t="s">
        <v>35</v>
      </c>
      <c r="J26" s="159" t="s">
        <v>35</v>
      </c>
      <c r="K26" s="159" t="s">
        <v>35</v>
      </c>
      <c r="L26" s="159" t="s">
        <v>35</v>
      </c>
      <c r="M26" s="159" t="s">
        <v>35</v>
      </c>
      <c r="N26" s="159" t="s">
        <v>35</v>
      </c>
      <c r="O26" s="159" t="s">
        <v>35</v>
      </c>
      <c r="P26" s="159" t="s">
        <v>35</v>
      </c>
      <c r="Q26" s="159" t="s">
        <v>35</v>
      </c>
      <c r="R26" s="159" t="s">
        <v>35</v>
      </c>
      <c r="S26" s="159" t="s">
        <v>35</v>
      </c>
      <c r="T26" s="159" t="s">
        <v>35</v>
      </c>
      <c r="U26" s="159" t="s">
        <v>35</v>
      </c>
      <c r="V26" s="159" t="s">
        <v>35</v>
      </c>
      <c r="W26" s="159" t="s">
        <v>35</v>
      </c>
      <c r="X26" s="159" t="s">
        <v>35</v>
      </c>
      <c r="Y26" s="159" t="s">
        <v>35</v>
      </c>
      <c r="Z26" s="159" t="s">
        <v>35</v>
      </c>
      <c r="AA26" s="159" t="s">
        <v>35</v>
      </c>
      <c r="AB26" s="159" t="s">
        <v>35</v>
      </c>
      <c r="AC26" s="159" t="s">
        <v>35</v>
      </c>
      <c r="AD26" s="159" t="s">
        <v>35</v>
      </c>
      <c r="AE26" s="159" t="s">
        <v>35</v>
      </c>
      <c r="AF26" s="159" t="s">
        <v>35</v>
      </c>
      <c r="AG26" s="159" t="s">
        <v>35</v>
      </c>
      <c r="AH26" s="159" t="s">
        <v>35</v>
      </c>
      <c r="AI26" s="179" t="s">
        <v>35</v>
      </c>
      <c r="AJ26" s="159" t="s">
        <v>35</v>
      </c>
      <c r="AK26" s="56" t="s">
        <v>12</v>
      </c>
    </row>
    <row r="27" spans="1:37" ht="12.75" customHeight="1" x14ac:dyDescent="0.2">
      <c r="A27" s="15"/>
      <c r="B27" s="17" t="s">
        <v>20</v>
      </c>
      <c r="C27" s="114">
        <v>3.7149999999999999</v>
      </c>
      <c r="D27" s="114">
        <v>3.468</v>
      </c>
      <c r="E27" s="114">
        <v>3.07</v>
      </c>
      <c r="F27" s="57">
        <v>3.0379999999999998</v>
      </c>
      <c r="G27" s="57">
        <v>2.76</v>
      </c>
      <c r="H27" s="57">
        <v>2.68</v>
      </c>
      <c r="I27" s="57">
        <v>2.83</v>
      </c>
      <c r="J27" s="57">
        <v>3.1</v>
      </c>
      <c r="K27" s="57">
        <v>3.1230000000000002</v>
      </c>
      <c r="L27" s="57">
        <v>3.4060000000000001</v>
      </c>
      <c r="M27" s="57">
        <v>3.778</v>
      </c>
      <c r="N27" s="57">
        <v>3.988</v>
      </c>
      <c r="O27" s="57">
        <v>4.5220000000000002</v>
      </c>
      <c r="P27" s="57">
        <v>4.2930000000000001</v>
      </c>
      <c r="Q27" s="57">
        <v>4.024</v>
      </c>
      <c r="R27" s="57">
        <v>4.7050000000000001</v>
      </c>
      <c r="S27" s="57">
        <v>5.8310000000000004</v>
      </c>
      <c r="T27" s="57">
        <v>5.8650000000000002</v>
      </c>
      <c r="U27" s="57">
        <v>6.2889999999999997</v>
      </c>
      <c r="V27" s="57">
        <v>7.2160000000000002</v>
      </c>
      <c r="W27" s="57">
        <v>6.984</v>
      </c>
      <c r="X27" s="57">
        <v>5.5780000000000003</v>
      </c>
      <c r="Y27" s="57">
        <v>5.9249999999999998</v>
      </c>
      <c r="Z27" s="57">
        <v>6.3780000000000001</v>
      </c>
      <c r="AA27" s="154">
        <v>6.1420000000000003</v>
      </c>
      <c r="AB27" s="154">
        <v>6.0780000000000003</v>
      </c>
      <c r="AC27" s="154">
        <v>6.1689999999999996</v>
      </c>
      <c r="AD27" s="154">
        <v>6.5449999999999999</v>
      </c>
      <c r="AE27" s="154">
        <v>6.641</v>
      </c>
      <c r="AF27" s="154">
        <v>6.4669999999999996</v>
      </c>
      <c r="AG27" s="154">
        <v>7.0229999999999997</v>
      </c>
      <c r="AH27" s="154">
        <v>7.08</v>
      </c>
      <c r="AI27" s="174">
        <v>6.665</v>
      </c>
      <c r="AJ27" s="170">
        <f t="shared" si="3"/>
        <v>-5.8615819209039586</v>
      </c>
      <c r="AK27" s="17" t="s">
        <v>20</v>
      </c>
    </row>
    <row r="28" spans="1:37" ht="12.75" customHeight="1" x14ac:dyDescent="0.2">
      <c r="A28" s="15"/>
      <c r="B28" s="88" t="s">
        <v>29</v>
      </c>
      <c r="C28" s="150">
        <v>9.8680000000000003</v>
      </c>
      <c r="D28" s="150">
        <v>11.002000000000001</v>
      </c>
      <c r="E28" s="150">
        <v>12.157999999999999</v>
      </c>
      <c r="F28" s="151">
        <v>12.321999999999999</v>
      </c>
      <c r="G28" s="151">
        <v>11.57</v>
      </c>
      <c r="H28" s="151">
        <v>11.24</v>
      </c>
      <c r="I28" s="151">
        <v>12.42</v>
      </c>
      <c r="J28" s="151">
        <v>13.2</v>
      </c>
      <c r="K28" s="151">
        <v>13.33</v>
      </c>
      <c r="L28" s="151">
        <v>14.199</v>
      </c>
      <c r="M28" s="151">
        <v>14.71</v>
      </c>
      <c r="N28" s="151">
        <v>15.04</v>
      </c>
      <c r="O28" s="159">
        <v>16.600000000000001</v>
      </c>
      <c r="P28" s="159">
        <v>16.893000000000001</v>
      </c>
      <c r="Q28" s="159">
        <v>17.13</v>
      </c>
      <c r="R28" s="159">
        <v>16.866</v>
      </c>
      <c r="S28" s="151">
        <v>18.757000000000001</v>
      </c>
      <c r="T28" s="151">
        <v>18.957000000000001</v>
      </c>
      <c r="U28" s="151">
        <v>20.98</v>
      </c>
      <c r="V28" s="151">
        <v>21.370999999999999</v>
      </c>
      <c r="W28" s="151">
        <v>21.914999999999999</v>
      </c>
      <c r="X28" s="151">
        <v>17.766999999999999</v>
      </c>
      <c r="Y28" s="151">
        <v>19.832999999999998</v>
      </c>
      <c r="Z28" s="151">
        <v>20.344999999999999</v>
      </c>
      <c r="AA28" s="156">
        <v>19.498999999999999</v>
      </c>
      <c r="AB28" s="156">
        <v>19.277999999999999</v>
      </c>
      <c r="AC28" s="156">
        <v>20.745999999999999</v>
      </c>
      <c r="AD28" s="156">
        <v>20.814</v>
      </c>
      <c r="AE28" s="156">
        <v>21.361000000000001</v>
      </c>
      <c r="AF28" s="156">
        <v>22.256</v>
      </c>
      <c r="AG28" s="156">
        <v>21.995999999999999</v>
      </c>
      <c r="AH28" s="156">
        <v>21.736000000000001</v>
      </c>
      <c r="AI28" s="156">
        <v>20.498000000000001</v>
      </c>
      <c r="AJ28" s="339">
        <f t="shared" si="3"/>
        <v>-5.6956201693043766</v>
      </c>
      <c r="AK28" s="88" t="s">
        <v>29</v>
      </c>
    </row>
    <row r="29" spans="1:37" ht="12.75" customHeight="1" x14ac:dyDescent="0.2">
      <c r="A29" s="15"/>
      <c r="B29" s="17" t="s">
        <v>13</v>
      </c>
      <c r="C29" s="145">
        <v>98</v>
      </c>
      <c r="D29" s="145">
        <v>132.4</v>
      </c>
      <c r="E29" s="145">
        <v>81.599999999999994</v>
      </c>
      <c r="F29" s="141">
        <v>65.2</v>
      </c>
      <c r="G29" s="141">
        <v>57.8</v>
      </c>
      <c r="H29" s="141">
        <v>63.2</v>
      </c>
      <c r="I29" s="141">
        <v>64.7</v>
      </c>
      <c r="J29" s="141">
        <v>68.2</v>
      </c>
      <c r="K29" s="141">
        <v>67.400000000000006</v>
      </c>
      <c r="L29" s="141">
        <v>67.7</v>
      </c>
      <c r="M29" s="141">
        <v>60.9</v>
      </c>
      <c r="N29" s="141">
        <v>55.1</v>
      </c>
      <c r="O29" s="141">
        <v>54</v>
      </c>
      <c r="P29" s="141">
        <v>47.7</v>
      </c>
      <c r="Q29" s="141">
        <v>46.6</v>
      </c>
      <c r="R29" s="141">
        <v>47.406999999999996</v>
      </c>
      <c r="S29" s="57">
        <v>52.332000000000001</v>
      </c>
      <c r="T29" s="57">
        <v>49.972000000000001</v>
      </c>
      <c r="U29" s="57">
        <v>53.622</v>
      </c>
      <c r="V29" s="57">
        <v>54.253</v>
      </c>
      <c r="W29" s="57">
        <v>52.042999999999999</v>
      </c>
      <c r="X29" s="57">
        <v>43.445</v>
      </c>
      <c r="Y29" s="57">
        <v>48.704999999999998</v>
      </c>
      <c r="Z29" s="57">
        <v>53.746000000000002</v>
      </c>
      <c r="AA29" s="154">
        <v>48.902999999999999</v>
      </c>
      <c r="AB29" s="154">
        <v>50.881</v>
      </c>
      <c r="AC29" s="154">
        <v>50.073</v>
      </c>
      <c r="AD29" s="154">
        <v>50.603000000000002</v>
      </c>
      <c r="AE29" s="154">
        <v>50.65</v>
      </c>
      <c r="AF29" s="154">
        <v>54.796999999999997</v>
      </c>
      <c r="AG29" s="154">
        <v>59.387999999999998</v>
      </c>
      <c r="AH29" s="154">
        <v>54.584000000000003</v>
      </c>
      <c r="AI29" s="154">
        <v>51.095999999999997</v>
      </c>
      <c r="AJ29" s="175">
        <f t="shared" si="3"/>
        <v>-6.39015095998829</v>
      </c>
      <c r="AK29" s="17" t="s">
        <v>13</v>
      </c>
    </row>
    <row r="30" spans="1:37" ht="12.75" customHeight="1" x14ac:dyDescent="0.2">
      <c r="A30" s="15"/>
      <c r="B30" s="88" t="s">
        <v>30</v>
      </c>
      <c r="C30" s="150">
        <v>0.77600000000000002</v>
      </c>
      <c r="D30" s="150">
        <v>1.0009999999999999</v>
      </c>
      <c r="E30" s="150">
        <v>1.4590000000000001</v>
      </c>
      <c r="F30" s="151">
        <v>1.66</v>
      </c>
      <c r="G30" s="151">
        <v>1.7669999999999999</v>
      </c>
      <c r="H30" s="151">
        <v>1.6659999999999999</v>
      </c>
      <c r="I30" s="151">
        <v>1.635</v>
      </c>
      <c r="J30" s="151">
        <v>2.0190000000000001</v>
      </c>
      <c r="K30" s="151">
        <v>1.857</v>
      </c>
      <c r="L30" s="151">
        <v>2.2469999999999999</v>
      </c>
      <c r="M30" s="151">
        <v>2.048</v>
      </c>
      <c r="N30" s="151">
        <v>2.1789999999999998</v>
      </c>
      <c r="O30" s="151">
        <v>2.1829999999999998</v>
      </c>
      <c r="P30" s="151">
        <v>2.1379999999999999</v>
      </c>
      <c r="Q30" s="151">
        <v>2.1930000000000001</v>
      </c>
      <c r="R30" s="151">
        <v>2.073</v>
      </c>
      <c r="S30" s="151">
        <v>2.282</v>
      </c>
      <c r="T30" s="151">
        <v>2.4220000000000002</v>
      </c>
      <c r="U30" s="151">
        <v>2.4300000000000002</v>
      </c>
      <c r="V30" s="151">
        <v>2.5859999999999999</v>
      </c>
      <c r="W30" s="151">
        <v>2.5489999999999999</v>
      </c>
      <c r="X30" s="151">
        <v>2.1739999999999999</v>
      </c>
      <c r="Y30" s="151">
        <v>2.3130000000000002</v>
      </c>
      <c r="Z30" s="151">
        <v>2.3220000000000001</v>
      </c>
      <c r="AA30" s="156">
        <v>2.4209999999999998</v>
      </c>
      <c r="AB30" s="156">
        <v>2.29</v>
      </c>
      <c r="AC30" s="156">
        <v>2.4340000000000002</v>
      </c>
      <c r="AD30" s="156">
        <v>2.6880000000000002</v>
      </c>
      <c r="AE30" s="156">
        <v>2.774</v>
      </c>
      <c r="AF30" s="156">
        <v>2.7509999999999999</v>
      </c>
      <c r="AG30" s="156">
        <v>2.7650000000000001</v>
      </c>
      <c r="AH30" s="156">
        <v>2.4780000000000002</v>
      </c>
      <c r="AI30" s="156">
        <v>2.302</v>
      </c>
      <c r="AJ30" s="339">
        <f t="shared" si="3"/>
        <v>-7.1025020177562652</v>
      </c>
      <c r="AK30" s="88" t="s">
        <v>30</v>
      </c>
    </row>
    <row r="31" spans="1:37" ht="12.75" customHeight="1" x14ac:dyDescent="0.2">
      <c r="A31" s="15"/>
      <c r="B31" s="17" t="s">
        <v>14</v>
      </c>
      <c r="C31" s="160">
        <v>43.1</v>
      </c>
      <c r="D31" s="160">
        <v>64.8</v>
      </c>
      <c r="E31" s="160">
        <v>48.911999999999999</v>
      </c>
      <c r="F31" s="161">
        <v>32.561</v>
      </c>
      <c r="G31" s="161">
        <v>24.387</v>
      </c>
      <c r="H31" s="161">
        <v>22.045999999999999</v>
      </c>
      <c r="I31" s="161">
        <v>21.745999999999999</v>
      </c>
      <c r="J31" s="161">
        <v>17.907</v>
      </c>
      <c r="K31" s="161">
        <v>24.254000000000001</v>
      </c>
      <c r="L31" s="161">
        <v>22.111000000000001</v>
      </c>
      <c r="M31" s="161">
        <v>16.619</v>
      </c>
      <c r="N31" s="161">
        <v>14.679</v>
      </c>
      <c r="O31" s="167">
        <v>16.353999999999999</v>
      </c>
      <c r="P31" s="161">
        <v>16.102</v>
      </c>
      <c r="Q31" s="161">
        <v>15.218</v>
      </c>
      <c r="R31" s="161">
        <v>15.039</v>
      </c>
      <c r="S31" s="161">
        <v>17.021999999999998</v>
      </c>
      <c r="T31" s="161">
        <v>16.582000000000001</v>
      </c>
      <c r="U31" s="161">
        <v>15.791</v>
      </c>
      <c r="V31" s="161">
        <v>15.757</v>
      </c>
      <c r="W31" s="161">
        <v>15.236000000000001</v>
      </c>
      <c r="X31" s="161">
        <v>11.087999999999999</v>
      </c>
      <c r="Y31" s="161">
        <v>12.375</v>
      </c>
      <c r="Z31" s="161">
        <v>14.718999999999999</v>
      </c>
      <c r="AA31" s="148">
        <v>13.472</v>
      </c>
      <c r="AB31" s="148">
        <v>12.941000000000001</v>
      </c>
      <c r="AC31" s="148">
        <v>12.263999999999999</v>
      </c>
      <c r="AD31" s="148">
        <v>13.673</v>
      </c>
      <c r="AE31" s="148">
        <v>13.535</v>
      </c>
      <c r="AF31" s="148">
        <v>13.782</v>
      </c>
      <c r="AG31" s="148">
        <v>13.076000000000001</v>
      </c>
      <c r="AH31" s="148">
        <v>13.311999999999999</v>
      </c>
      <c r="AI31" s="148">
        <v>12.291</v>
      </c>
      <c r="AJ31" s="175">
        <f t="shared" si="3"/>
        <v>-7.6697716346153726</v>
      </c>
      <c r="AK31" s="17" t="s">
        <v>14</v>
      </c>
    </row>
    <row r="32" spans="1:37" ht="12.75" customHeight="1" x14ac:dyDescent="0.2">
      <c r="A32" s="15"/>
      <c r="B32" s="88" t="s">
        <v>16</v>
      </c>
      <c r="C32" s="150">
        <v>3.3</v>
      </c>
      <c r="D32" s="150">
        <v>3.8</v>
      </c>
      <c r="E32" s="150">
        <v>4.21</v>
      </c>
      <c r="F32" s="151">
        <v>3.2</v>
      </c>
      <c r="G32" s="151">
        <v>2.57</v>
      </c>
      <c r="H32" s="151">
        <v>2.2599999999999998</v>
      </c>
      <c r="I32" s="151">
        <v>2.5</v>
      </c>
      <c r="J32" s="151">
        <v>3.0760000000000001</v>
      </c>
      <c r="K32" s="151">
        <v>2.5499999999999998</v>
      </c>
      <c r="L32" s="151">
        <v>2.9</v>
      </c>
      <c r="M32" s="151">
        <v>2.9</v>
      </c>
      <c r="N32" s="151">
        <v>2.7839999999999998</v>
      </c>
      <c r="O32" s="151">
        <v>2.8570000000000002</v>
      </c>
      <c r="P32" s="151">
        <v>2.8370000000000002</v>
      </c>
      <c r="Q32" s="151">
        <v>3.0779999999999998</v>
      </c>
      <c r="R32" s="151">
        <v>3.0179999999999998</v>
      </c>
      <c r="S32" s="151">
        <v>3.149</v>
      </c>
      <c r="T32" s="151">
        <v>3.2450000000000001</v>
      </c>
      <c r="U32" s="151">
        <v>3.3730000000000002</v>
      </c>
      <c r="V32" s="151">
        <v>3.6030000000000002</v>
      </c>
      <c r="W32" s="151">
        <v>3.52</v>
      </c>
      <c r="X32" s="151">
        <v>2.8170000000000002</v>
      </c>
      <c r="Y32" s="151">
        <v>3.4209999999999998</v>
      </c>
      <c r="Z32" s="151">
        <v>3.7519999999999998</v>
      </c>
      <c r="AA32" s="156">
        <v>3.47</v>
      </c>
      <c r="AB32" s="156">
        <v>3.7989999999999999</v>
      </c>
      <c r="AC32" s="156">
        <v>4.1100000000000003</v>
      </c>
      <c r="AD32" s="156">
        <v>4.1749999999999998</v>
      </c>
      <c r="AE32" s="156">
        <v>4.3600000000000003</v>
      </c>
      <c r="AF32" s="156">
        <v>5.1280000000000001</v>
      </c>
      <c r="AG32" s="156">
        <v>5.1509999999999998</v>
      </c>
      <c r="AH32" s="156">
        <v>5.2919999999999998</v>
      </c>
      <c r="AI32" s="156">
        <v>4.726</v>
      </c>
      <c r="AJ32" s="339">
        <f t="shared" si="3"/>
        <v>-10.695389266817841</v>
      </c>
      <c r="AK32" s="88" t="s">
        <v>16</v>
      </c>
    </row>
    <row r="33" spans="1:54" ht="12.75" customHeight="1" x14ac:dyDescent="0.2">
      <c r="A33" s="15"/>
      <c r="B33" s="17" t="s">
        <v>15</v>
      </c>
      <c r="C33" s="160"/>
      <c r="D33" s="160"/>
      <c r="E33" s="160"/>
      <c r="F33" s="161"/>
      <c r="G33" s="161"/>
      <c r="H33" s="161">
        <v>14.2</v>
      </c>
      <c r="I33" s="161">
        <v>12.2</v>
      </c>
      <c r="J33" s="161">
        <v>13.8</v>
      </c>
      <c r="K33" s="161">
        <v>12</v>
      </c>
      <c r="L33" s="161">
        <v>12.368</v>
      </c>
      <c r="M33" s="161">
        <v>11.753</v>
      </c>
      <c r="N33" s="161">
        <v>9.859</v>
      </c>
      <c r="O33" s="161">
        <v>11.233000000000001</v>
      </c>
      <c r="P33" s="161">
        <v>10.93</v>
      </c>
      <c r="Q33" s="161">
        <v>10.38</v>
      </c>
      <c r="R33" s="161">
        <v>10.113</v>
      </c>
      <c r="S33" s="161">
        <v>9.702</v>
      </c>
      <c r="T33" s="161">
        <v>9.4629999999999992</v>
      </c>
      <c r="U33" s="161">
        <v>9.9879999999999995</v>
      </c>
      <c r="V33" s="161">
        <v>9.6470000000000002</v>
      </c>
      <c r="W33" s="161">
        <v>9.2989999999999995</v>
      </c>
      <c r="X33" s="161">
        <v>6.9640000000000004</v>
      </c>
      <c r="Y33" s="161">
        <v>8.1050000000000004</v>
      </c>
      <c r="Z33" s="161">
        <v>7.96</v>
      </c>
      <c r="AA33" s="148">
        <v>7.5910000000000002</v>
      </c>
      <c r="AB33" s="148">
        <v>8.4939999999999998</v>
      </c>
      <c r="AC33" s="148">
        <v>8.8290000000000006</v>
      </c>
      <c r="AD33" s="148">
        <v>8.4390000000000001</v>
      </c>
      <c r="AE33" s="148">
        <v>8.3699999999999992</v>
      </c>
      <c r="AF33" s="148">
        <v>8.4770000000000003</v>
      </c>
      <c r="AG33" s="148">
        <v>8.3729999999999993</v>
      </c>
      <c r="AH33" s="148">
        <v>8.1340000000000003</v>
      </c>
      <c r="AI33" s="148">
        <v>6.9080000000000004</v>
      </c>
      <c r="AJ33" s="175">
        <f t="shared" si="3"/>
        <v>-15.072535038111639</v>
      </c>
      <c r="AK33" s="17" t="s">
        <v>15</v>
      </c>
    </row>
    <row r="34" spans="1:54" ht="12.75" customHeight="1" x14ac:dyDescent="0.2">
      <c r="A34" s="15"/>
      <c r="B34" s="88" t="s">
        <v>31</v>
      </c>
      <c r="C34" s="150">
        <v>6.27</v>
      </c>
      <c r="D34" s="150">
        <v>8.3350000000000009</v>
      </c>
      <c r="E34" s="150">
        <v>8.3569999999999993</v>
      </c>
      <c r="F34" s="151">
        <v>7.63</v>
      </c>
      <c r="G34" s="151">
        <v>7.8479999999999999</v>
      </c>
      <c r="H34" s="151">
        <v>9.26</v>
      </c>
      <c r="I34" s="151">
        <v>9.9480000000000004</v>
      </c>
      <c r="J34" s="151">
        <v>9.6</v>
      </c>
      <c r="K34" s="151">
        <v>8.8059999999999992</v>
      </c>
      <c r="L34" s="151">
        <v>9.8559999999999999</v>
      </c>
      <c r="M34" s="151">
        <v>9.8849999999999998</v>
      </c>
      <c r="N34" s="151">
        <v>9.7530000000000001</v>
      </c>
      <c r="O34" s="151">
        <v>10.106999999999999</v>
      </c>
      <c r="P34" s="151">
        <v>9.8569999999999993</v>
      </c>
      <c r="Q34" s="151">
        <v>9.6639999999999997</v>
      </c>
      <c r="R34" s="151">
        <v>10.047000000000001</v>
      </c>
      <c r="S34" s="151">
        <v>10.105</v>
      </c>
      <c r="T34" s="151">
        <v>9.7059999999999995</v>
      </c>
      <c r="U34" s="151">
        <v>11.06</v>
      </c>
      <c r="V34" s="151">
        <v>10.433999999999999</v>
      </c>
      <c r="W34" s="151">
        <v>10.776999999999999</v>
      </c>
      <c r="X34" s="151">
        <v>8.8719999999999999</v>
      </c>
      <c r="Y34" s="151">
        <v>9.75</v>
      </c>
      <c r="Z34" s="151">
        <v>9.3949999999999996</v>
      </c>
      <c r="AA34" s="156">
        <v>9.2750000000000004</v>
      </c>
      <c r="AB34" s="156">
        <v>9.4700000000000006</v>
      </c>
      <c r="AC34" s="156">
        <v>9.5969999999999995</v>
      </c>
      <c r="AD34" s="156">
        <v>8.468</v>
      </c>
      <c r="AE34" s="156">
        <v>9.4559999999999995</v>
      </c>
      <c r="AF34" s="156">
        <v>10.362</v>
      </c>
      <c r="AG34" s="156">
        <v>11.175000000000001</v>
      </c>
      <c r="AH34" s="156">
        <v>10.271000000000001</v>
      </c>
      <c r="AI34" s="156">
        <v>10.137</v>
      </c>
      <c r="AJ34" s="339">
        <f t="shared" si="3"/>
        <v>-1.3046441437055734</v>
      </c>
      <c r="AK34" s="88" t="s">
        <v>31</v>
      </c>
    </row>
    <row r="35" spans="1:54" ht="12.75" customHeight="1" x14ac:dyDescent="0.2">
      <c r="A35" s="15"/>
      <c r="B35" s="18" t="s">
        <v>32</v>
      </c>
      <c r="C35" s="372">
        <v>17.311</v>
      </c>
      <c r="D35" s="372">
        <v>16.648</v>
      </c>
      <c r="E35" s="372">
        <v>19.100000000000001</v>
      </c>
      <c r="F35" s="168">
        <v>18.815999999999999</v>
      </c>
      <c r="G35" s="168">
        <v>19.202000000000002</v>
      </c>
      <c r="H35" s="168">
        <v>18.577999999999999</v>
      </c>
      <c r="I35" s="168">
        <v>19.068999999999999</v>
      </c>
      <c r="J35" s="168">
        <v>19.390999999999998</v>
      </c>
      <c r="K35" s="168">
        <v>18.846</v>
      </c>
      <c r="L35" s="168">
        <v>19.181000000000001</v>
      </c>
      <c r="M35" s="168">
        <v>19.163</v>
      </c>
      <c r="N35" s="168">
        <v>19.09</v>
      </c>
      <c r="O35" s="168">
        <v>19.475000000000001</v>
      </c>
      <c r="P35" s="168">
        <v>18.954000000000001</v>
      </c>
      <c r="Q35" s="161">
        <v>19.196999999999999</v>
      </c>
      <c r="R35" s="161">
        <v>20.170000000000002</v>
      </c>
      <c r="S35" s="161">
        <v>20.856000000000002</v>
      </c>
      <c r="T35" s="161">
        <v>21.675000000000001</v>
      </c>
      <c r="U35" s="161">
        <v>22.271000000000001</v>
      </c>
      <c r="V35" s="161">
        <v>23.25</v>
      </c>
      <c r="W35" s="161">
        <v>22.923999999999999</v>
      </c>
      <c r="X35" s="161">
        <v>20.388999999999999</v>
      </c>
      <c r="Y35" s="161">
        <v>23.463999999999999</v>
      </c>
      <c r="Z35" s="161">
        <v>22.864000000000001</v>
      </c>
      <c r="AA35" s="148">
        <v>22.042999999999999</v>
      </c>
      <c r="AB35" s="148">
        <v>20.97</v>
      </c>
      <c r="AC35" s="148">
        <v>21.295999999999999</v>
      </c>
      <c r="AD35" s="148">
        <v>20.699000000000002</v>
      </c>
      <c r="AE35" s="148">
        <v>21.405999999999999</v>
      </c>
      <c r="AF35" s="148">
        <v>21.838000000000001</v>
      </c>
      <c r="AG35" s="148">
        <v>22.794</v>
      </c>
      <c r="AH35" s="148">
        <v>22.222000000000001</v>
      </c>
      <c r="AI35" s="148">
        <v>22.094000000000001</v>
      </c>
      <c r="AJ35" s="175">
        <f t="shared" si="3"/>
        <v>-0.57600576005759763</v>
      </c>
      <c r="AK35" s="17" t="s">
        <v>32</v>
      </c>
    </row>
    <row r="36" spans="1:54" ht="12.75" customHeight="1" x14ac:dyDescent="0.2">
      <c r="A36" s="15"/>
      <c r="B36" s="193" t="s">
        <v>3</v>
      </c>
      <c r="C36" s="194" t="s">
        <v>35</v>
      </c>
      <c r="D36" s="194" t="s">
        <v>35</v>
      </c>
      <c r="E36" s="209" t="s">
        <v>35</v>
      </c>
      <c r="F36" s="209" t="s">
        <v>35</v>
      </c>
      <c r="G36" s="209" t="s">
        <v>35</v>
      </c>
      <c r="H36" s="209" t="s">
        <v>35</v>
      </c>
      <c r="I36" s="209" t="s">
        <v>35</v>
      </c>
      <c r="J36" s="209" t="s">
        <v>35</v>
      </c>
      <c r="K36" s="209" t="s">
        <v>35</v>
      </c>
      <c r="L36" s="209" t="s">
        <v>35</v>
      </c>
      <c r="M36" s="209" t="s">
        <v>35</v>
      </c>
      <c r="N36" s="209" t="s">
        <v>35</v>
      </c>
      <c r="O36" s="209" t="s">
        <v>35</v>
      </c>
      <c r="P36" s="195" t="s">
        <v>35</v>
      </c>
      <c r="Q36" s="210" t="s">
        <v>35</v>
      </c>
      <c r="R36" s="210" t="s">
        <v>35</v>
      </c>
      <c r="S36" s="210" t="s">
        <v>35</v>
      </c>
      <c r="T36" s="210" t="s">
        <v>35</v>
      </c>
      <c r="U36" s="210" t="s">
        <v>35</v>
      </c>
      <c r="V36" s="210" t="s">
        <v>35</v>
      </c>
      <c r="W36" s="210" t="s">
        <v>35</v>
      </c>
      <c r="X36" s="210" t="s">
        <v>35</v>
      </c>
      <c r="Y36" s="210" t="s">
        <v>35</v>
      </c>
      <c r="Z36" s="213" t="s">
        <v>35</v>
      </c>
      <c r="AA36" s="213" t="s">
        <v>35</v>
      </c>
      <c r="AB36" s="213" t="s">
        <v>35</v>
      </c>
      <c r="AC36" s="213" t="s">
        <v>35</v>
      </c>
      <c r="AD36" s="213" t="s">
        <v>35</v>
      </c>
      <c r="AE36" s="213" t="s">
        <v>35</v>
      </c>
      <c r="AF36" s="213" t="s">
        <v>35</v>
      </c>
      <c r="AG36" s="213" t="s">
        <v>35</v>
      </c>
      <c r="AH36" s="471" t="s">
        <v>35</v>
      </c>
      <c r="AI36" s="434" t="s">
        <v>35</v>
      </c>
      <c r="AJ36" s="513" t="s">
        <v>35</v>
      </c>
      <c r="AK36" s="207" t="s">
        <v>3</v>
      </c>
    </row>
    <row r="37" spans="1:54" ht="12.75" customHeight="1" x14ac:dyDescent="0.2">
      <c r="A37" s="15"/>
      <c r="B37" s="17" t="s">
        <v>33</v>
      </c>
      <c r="C37" s="95">
        <v>2.6</v>
      </c>
      <c r="D37" s="95">
        <v>3</v>
      </c>
      <c r="E37" s="57">
        <v>2.6</v>
      </c>
      <c r="F37" s="57">
        <v>2.7</v>
      </c>
      <c r="G37" s="57">
        <v>2.7</v>
      </c>
      <c r="H37" s="57">
        <v>2.9</v>
      </c>
      <c r="I37" s="57">
        <v>2.7</v>
      </c>
      <c r="J37" s="57">
        <v>2.7</v>
      </c>
      <c r="K37" s="57">
        <v>2.8</v>
      </c>
      <c r="L37" s="57">
        <v>3</v>
      </c>
      <c r="M37" s="57">
        <v>2.9</v>
      </c>
      <c r="N37" s="57">
        <v>2.9</v>
      </c>
      <c r="O37" s="57">
        <v>3</v>
      </c>
      <c r="P37" s="57">
        <v>2.9</v>
      </c>
      <c r="Q37" s="57">
        <v>2.7</v>
      </c>
      <c r="R37" s="57">
        <v>2.6269999999999998</v>
      </c>
      <c r="S37" s="57">
        <v>2.8450000000000002</v>
      </c>
      <c r="T37" s="57">
        <v>3.1819999999999999</v>
      </c>
      <c r="U37" s="57">
        <v>3.351</v>
      </c>
      <c r="V37" s="57">
        <v>3.5019999999999998</v>
      </c>
      <c r="W37" s="57">
        <v>3.621</v>
      </c>
      <c r="X37" s="57">
        <v>3.5059999999999998</v>
      </c>
      <c r="Y37" s="57">
        <v>3.496</v>
      </c>
      <c r="Z37" s="57">
        <v>3.5739999999999998</v>
      </c>
      <c r="AA37" s="57">
        <v>3.4889999999999999</v>
      </c>
      <c r="AB37" s="57">
        <v>3.383</v>
      </c>
      <c r="AC37" s="57">
        <v>3.5390000000000001</v>
      </c>
      <c r="AD37" s="57">
        <v>3.4980000000000002</v>
      </c>
      <c r="AE37" s="57">
        <v>3.3119999999999998</v>
      </c>
      <c r="AF37" s="57">
        <v>4.04</v>
      </c>
      <c r="AG37" s="57">
        <v>3.97</v>
      </c>
      <c r="AH37" s="57">
        <v>3.903</v>
      </c>
      <c r="AI37" s="57">
        <v>4.1100000000000003</v>
      </c>
      <c r="AJ37" s="175">
        <f>AI37/AH37*100-100</f>
        <v>5.3036126056879453</v>
      </c>
      <c r="AK37" s="17" t="s">
        <v>33</v>
      </c>
    </row>
    <row r="38" spans="1:54" ht="12.75" customHeight="1" x14ac:dyDescent="0.2">
      <c r="A38" s="15"/>
      <c r="B38" s="215" t="s">
        <v>4</v>
      </c>
      <c r="C38" s="216">
        <v>6.9</v>
      </c>
      <c r="D38" s="216">
        <v>7.8</v>
      </c>
      <c r="E38" s="198">
        <v>9.0449999999999999</v>
      </c>
      <c r="F38" s="198">
        <v>8.9169999999999998</v>
      </c>
      <c r="G38" s="198">
        <v>8.4580000000000002</v>
      </c>
      <c r="H38" s="198">
        <v>8.0510000000000002</v>
      </c>
      <c r="I38" s="198">
        <v>8.8190000000000008</v>
      </c>
      <c r="J38" s="198">
        <v>8.8559999999999999</v>
      </c>
      <c r="K38" s="198">
        <v>8.0310000000000006</v>
      </c>
      <c r="L38" s="198">
        <v>8.8360000000000003</v>
      </c>
      <c r="M38" s="198">
        <v>9.4109999999999996</v>
      </c>
      <c r="N38" s="198">
        <v>9.8309999999999995</v>
      </c>
      <c r="O38" s="198">
        <v>11.08</v>
      </c>
      <c r="P38" s="198">
        <v>11.172000000000001</v>
      </c>
      <c r="Q38" s="198">
        <v>10.746</v>
      </c>
      <c r="R38" s="198">
        <v>10.598000000000001</v>
      </c>
      <c r="S38" s="198">
        <v>11.489000000000001</v>
      </c>
      <c r="T38" s="198">
        <v>11.677</v>
      </c>
      <c r="U38" s="198">
        <v>12.465999999999999</v>
      </c>
      <c r="V38" s="196">
        <v>11.952</v>
      </c>
      <c r="W38" s="198">
        <v>12.265000000000001</v>
      </c>
      <c r="X38" s="198">
        <v>10.565</v>
      </c>
      <c r="Y38" s="198">
        <v>11.074</v>
      </c>
      <c r="Z38" s="198">
        <v>11.526</v>
      </c>
      <c r="AA38" s="198">
        <v>11.061</v>
      </c>
      <c r="AB38" s="198">
        <v>11.811999999999999</v>
      </c>
      <c r="AC38" s="198">
        <v>12.313000000000001</v>
      </c>
      <c r="AD38" s="198">
        <v>12.430999999999999</v>
      </c>
      <c r="AE38" s="198">
        <v>12.446999999999999</v>
      </c>
      <c r="AF38" s="198">
        <v>11.664999999999999</v>
      </c>
      <c r="AG38" s="198">
        <v>11.776</v>
      </c>
      <c r="AH38" s="195">
        <v>11.673</v>
      </c>
      <c r="AI38" s="195">
        <v>11.067</v>
      </c>
      <c r="AJ38" s="341">
        <f>AI38/AH38*100-100</f>
        <v>-5.1914674890773682</v>
      </c>
      <c r="AK38" s="215" t="s">
        <v>4</v>
      </c>
    </row>
    <row r="39" spans="1:54" ht="12.75" customHeight="1" x14ac:dyDescent="0.2">
      <c r="A39" s="15"/>
      <c r="B39" s="17" t="s">
        <v>96</v>
      </c>
      <c r="C39" s="95"/>
      <c r="D39" s="95"/>
      <c r="E39" s="57"/>
      <c r="F39" s="57"/>
      <c r="G39" s="57"/>
      <c r="H39" s="57"/>
      <c r="I39" s="57"/>
      <c r="J39" s="57"/>
      <c r="K39" s="57"/>
      <c r="L39" s="57"/>
      <c r="M39" s="57"/>
      <c r="N39" s="57"/>
      <c r="O39" s="57"/>
      <c r="P39" s="57"/>
      <c r="Q39" s="57"/>
      <c r="R39" s="57"/>
      <c r="S39" s="57"/>
      <c r="T39" s="57"/>
      <c r="U39" s="57"/>
      <c r="V39" s="57">
        <v>0.185</v>
      </c>
      <c r="W39" s="57">
        <v>0.183</v>
      </c>
      <c r="X39" s="57">
        <v>0.1</v>
      </c>
      <c r="Y39" s="57">
        <v>0.15</v>
      </c>
      <c r="Z39" s="57">
        <v>0.13600000000000001</v>
      </c>
      <c r="AA39" s="57">
        <v>7.2999999999999995E-2</v>
      </c>
      <c r="AB39" s="57">
        <v>0.105</v>
      </c>
      <c r="AC39" s="57">
        <v>9.4E-2</v>
      </c>
      <c r="AD39" s="57">
        <v>0.112</v>
      </c>
      <c r="AE39" s="57">
        <v>0.11249000000000001</v>
      </c>
      <c r="AF39" s="57">
        <v>0.16900000000000001</v>
      </c>
      <c r="AG39" s="57">
        <v>0.113</v>
      </c>
      <c r="AH39" s="436">
        <v>0.13</v>
      </c>
      <c r="AI39" s="514">
        <v>0.13</v>
      </c>
      <c r="AJ39" s="175">
        <f t="shared" si="3"/>
        <v>0</v>
      </c>
      <c r="AK39" s="17" t="s">
        <v>96</v>
      </c>
    </row>
    <row r="40" spans="1:54" ht="12.75" customHeight="1" x14ac:dyDescent="0.2">
      <c r="A40" s="15"/>
      <c r="B40" s="193" t="s">
        <v>2</v>
      </c>
      <c r="C40" s="194" t="s">
        <v>34</v>
      </c>
      <c r="D40" s="194" t="s">
        <v>34</v>
      </c>
      <c r="E40" s="195" t="s">
        <v>34</v>
      </c>
      <c r="F40" s="195"/>
      <c r="G40" s="195"/>
      <c r="H40" s="195"/>
      <c r="I40" s="195"/>
      <c r="J40" s="195"/>
      <c r="K40" s="195"/>
      <c r="L40" s="195"/>
      <c r="M40" s="195"/>
      <c r="N40" s="195"/>
      <c r="O40" s="195">
        <v>0.5</v>
      </c>
      <c r="P40" s="195">
        <v>0.46200000000000002</v>
      </c>
      <c r="Q40" s="195">
        <v>0.33400000000000002</v>
      </c>
      <c r="R40" s="195">
        <v>0.373</v>
      </c>
      <c r="S40" s="195">
        <v>0.42599999999999999</v>
      </c>
      <c r="T40" s="195">
        <v>0.53100000000000003</v>
      </c>
      <c r="U40" s="195">
        <v>0.61399999999999999</v>
      </c>
      <c r="V40" s="195">
        <v>0.77800000000000002</v>
      </c>
      <c r="W40" s="195">
        <v>0.74299999999999999</v>
      </c>
      <c r="X40" s="195">
        <v>0.497</v>
      </c>
      <c r="Y40" s="195">
        <v>0.52500000000000002</v>
      </c>
      <c r="Z40" s="195">
        <v>0.47899999999999998</v>
      </c>
      <c r="AA40" s="195">
        <v>0.42299999999999999</v>
      </c>
      <c r="AB40" s="195">
        <v>0.42099999999999999</v>
      </c>
      <c r="AC40" s="195">
        <v>0.41099999999999998</v>
      </c>
      <c r="AD40" s="195">
        <v>0.27800000000000002</v>
      </c>
      <c r="AE40" s="195">
        <v>0.222</v>
      </c>
      <c r="AF40" s="195">
        <v>0.27700000000000002</v>
      </c>
      <c r="AG40" s="195">
        <v>0.307</v>
      </c>
      <c r="AH40" s="195">
        <v>0.35</v>
      </c>
      <c r="AI40" s="195">
        <v>0.34200000000000003</v>
      </c>
      <c r="AJ40" s="422">
        <f t="shared" si="3"/>
        <v>-2.2857142857142634</v>
      </c>
      <c r="AK40" s="193" t="s">
        <v>2</v>
      </c>
    </row>
    <row r="41" spans="1:54" ht="12.75" customHeight="1" x14ac:dyDescent="0.2">
      <c r="A41" s="15"/>
      <c r="B41" s="17" t="s">
        <v>100</v>
      </c>
      <c r="C41" s="114">
        <v>0.16</v>
      </c>
      <c r="D41" s="114">
        <v>0.47699999999999998</v>
      </c>
      <c r="E41" s="114">
        <v>0.58399999999999996</v>
      </c>
      <c r="F41" s="57">
        <v>0.27800000000000002</v>
      </c>
      <c r="G41" s="200">
        <v>0.06</v>
      </c>
      <c r="H41" s="57">
        <v>5.3999999999999999E-2</v>
      </c>
      <c r="I41" s="57">
        <v>5.2999999999999999E-2</v>
      </c>
      <c r="J41" s="57">
        <v>5.2999999999999999E-2</v>
      </c>
      <c r="K41" s="57">
        <v>4.2000000000000003E-2</v>
      </c>
      <c r="L41" s="57">
        <v>2.3E-2</v>
      </c>
      <c r="M41" s="57">
        <v>2.5000000000000001E-2</v>
      </c>
      <c r="N41" s="57">
        <v>2.5999999999999999E-2</v>
      </c>
      <c r="O41" s="57">
        <v>2.8000000000000001E-2</v>
      </c>
      <c r="P41" s="57">
        <v>1.9E-2</v>
      </c>
      <c r="Q41" s="57">
        <v>2.1000000000000001E-2</v>
      </c>
      <c r="R41" s="57">
        <v>3.2000000000000001E-2</v>
      </c>
      <c r="S41" s="57">
        <v>3.2000000000000001E-2</v>
      </c>
      <c r="T41" s="57">
        <v>2.5999999999999999E-2</v>
      </c>
      <c r="U41" s="57">
        <v>3.5999999999999997E-2</v>
      </c>
      <c r="V41" s="57">
        <v>5.2999999999999999E-2</v>
      </c>
      <c r="W41" s="57">
        <v>5.1999999999999998E-2</v>
      </c>
      <c r="X41" s="57">
        <v>4.5999999999999999E-2</v>
      </c>
      <c r="Y41" s="57">
        <v>6.6177E-2</v>
      </c>
      <c r="Z41" s="154">
        <v>5.0122E-2</v>
      </c>
      <c r="AA41" s="154">
        <v>2.5307E-2</v>
      </c>
      <c r="AB41" s="154">
        <v>2.2974999999999999E-2</v>
      </c>
      <c r="AC41" s="154">
        <v>3.9889000000000001E-2</v>
      </c>
      <c r="AD41" s="154">
        <v>2.3E-2</v>
      </c>
      <c r="AE41" s="154">
        <v>8.9999999999999993E-3</v>
      </c>
      <c r="AF41" s="154">
        <v>2.5000000000000001E-2</v>
      </c>
      <c r="AG41" s="154">
        <v>0.02</v>
      </c>
      <c r="AH41" s="154">
        <f>43/1000</f>
        <v>4.2999999999999997E-2</v>
      </c>
      <c r="AI41" s="154">
        <f>26/1000</f>
        <v>2.5999999999999999E-2</v>
      </c>
      <c r="AJ41" s="175">
        <f t="shared" si="3"/>
        <v>-39.534883720930225</v>
      </c>
      <c r="AK41" s="17" t="s">
        <v>100</v>
      </c>
    </row>
    <row r="42" spans="1:54" ht="12.75" customHeight="1" x14ac:dyDescent="0.2">
      <c r="A42" s="15"/>
      <c r="B42" s="193" t="s">
        <v>97</v>
      </c>
      <c r="C42" s="194"/>
      <c r="D42" s="194"/>
      <c r="E42" s="195"/>
      <c r="F42" s="195"/>
      <c r="G42" s="195"/>
      <c r="H42" s="195"/>
      <c r="I42" s="195"/>
      <c r="J42" s="195"/>
      <c r="K42" s="195"/>
      <c r="L42" s="195"/>
      <c r="M42" s="195"/>
      <c r="N42" s="195"/>
      <c r="O42" s="195"/>
      <c r="P42" s="195"/>
      <c r="Q42" s="195"/>
      <c r="R42" s="195"/>
      <c r="S42" s="195"/>
      <c r="T42" s="195"/>
      <c r="U42" s="195"/>
      <c r="V42" s="195"/>
      <c r="W42" s="195">
        <v>4.3390000000000004</v>
      </c>
      <c r="X42" s="195">
        <v>2.9670000000000001</v>
      </c>
      <c r="Y42" s="195">
        <v>3.5219999999999998</v>
      </c>
      <c r="Z42" s="195">
        <v>3.6110000000000002</v>
      </c>
      <c r="AA42" s="195">
        <v>2.7690000000000001</v>
      </c>
      <c r="AB42" s="195">
        <v>3.0219999999999998</v>
      </c>
      <c r="AC42" s="195">
        <v>2.988</v>
      </c>
      <c r="AD42" s="195">
        <v>3.2480000000000002</v>
      </c>
      <c r="AE42" s="195">
        <v>3.0870000000000002</v>
      </c>
      <c r="AF42" s="195">
        <v>3.2879999999999998</v>
      </c>
      <c r="AG42" s="197">
        <f>3186/1000</f>
        <v>3.1859999999999999</v>
      </c>
      <c r="AH42" s="197">
        <f>2865/1000</f>
        <v>2.8650000000000002</v>
      </c>
      <c r="AI42" s="197">
        <f>2747/1000</f>
        <v>2.7469999999999999</v>
      </c>
      <c r="AJ42" s="422">
        <f t="shared" si="3"/>
        <v>-4.1186736474694783</v>
      </c>
      <c r="AK42" s="193" t="s">
        <v>97</v>
      </c>
    </row>
    <row r="43" spans="1:54" ht="14.25" customHeight="1" x14ac:dyDescent="0.2">
      <c r="A43" s="15"/>
      <c r="B43" s="18" t="s">
        <v>17</v>
      </c>
      <c r="C43" s="97">
        <v>5.5</v>
      </c>
      <c r="D43" s="97">
        <v>5</v>
      </c>
      <c r="E43" s="58">
        <v>7.8940000000000001</v>
      </c>
      <c r="F43" s="58">
        <v>7.9770000000000003</v>
      </c>
      <c r="G43" s="58">
        <v>8.2309999999999999</v>
      </c>
      <c r="H43" s="58">
        <v>8.3960000000000008</v>
      </c>
      <c r="I43" s="58">
        <v>8.2029999999999994</v>
      </c>
      <c r="J43" s="58">
        <v>8.5060000000000002</v>
      </c>
      <c r="K43" s="58">
        <v>8.9039999999999999</v>
      </c>
      <c r="L43" s="58">
        <v>9.6059999999999999</v>
      </c>
      <c r="M43" s="58">
        <v>8.3689999999999998</v>
      </c>
      <c r="N43" s="58">
        <v>8.23</v>
      </c>
      <c r="O43" s="58">
        <v>9.7569999999999997</v>
      </c>
      <c r="P43" s="58">
        <v>7.4829999999999997</v>
      </c>
      <c r="Q43" s="58">
        <v>7.1760000000000002</v>
      </c>
      <c r="R43" s="58">
        <v>8.6120000000000001</v>
      </c>
      <c r="S43" s="58">
        <v>9.3320000000000007</v>
      </c>
      <c r="T43" s="58">
        <v>9.077</v>
      </c>
      <c r="U43" s="58">
        <v>9.5440000000000005</v>
      </c>
      <c r="V43" s="58">
        <v>9.7550000000000008</v>
      </c>
      <c r="W43" s="58">
        <v>10.552</v>
      </c>
      <c r="X43" s="58">
        <v>10.163</v>
      </c>
      <c r="Y43" s="58">
        <v>11.3</v>
      </c>
      <c r="Z43" s="58">
        <v>11.303000000000001</v>
      </c>
      <c r="AA43" s="58">
        <v>11.223000000000001</v>
      </c>
      <c r="AB43" s="58">
        <v>10.75</v>
      </c>
      <c r="AC43" s="58">
        <v>11.601000000000001</v>
      </c>
      <c r="AD43" s="58">
        <v>10.178000000000001</v>
      </c>
      <c r="AE43" s="58">
        <v>11.423999999999999</v>
      </c>
      <c r="AF43" s="58">
        <v>12.676</v>
      </c>
      <c r="AG43" s="58">
        <v>12.637</v>
      </c>
      <c r="AH43" s="57">
        <v>14.707000000000001</v>
      </c>
      <c r="AI43" s="57">
        <v>15.345000000000001</v>
      </c>
      <c r="AJ43" s="348">
        <f t="shared" si="3"/>
        <v>4.3380703066566895</v>
      </c>
      <c r="AK43" s="18" t="s">
        <v>17</v>
      </c>
    </row>
    <row r="44" spans="1:54" ht="12.75" customHeight="1" x14ac:dyDescent="0.2">
      <c r="A44" s="15"/>
      <c r="B44" s="279" t="s">
        <v>21</v>
      </c>
      <c r="C44" s="335">
        <v>24.55</v>
      </c>
      <c r="D44" s="335">
        <v>17.815999999999999</v>
      </c>
      <c r="E44" s="335">
        <v>16</v>
      </c>
      <c r="F44" s="336">
        <v>15.3</v>
      </c>
      <c r="G44" s="336">
        <v>15.5</v>
      </c>
      <c r="H44" s="336">
        <v>13.8</v>
      </c>
      <c r="I44" s="336">
        <v>13</v>
      </c>
      <c r="J44" s="336">
        <v>13.3</v>
      </c>
      <c r="K44" s="336">
        <v>15.1</v>
      </c>
      <c r="L44" s="336">
        <v>16.899999999999999</v>
      </c>
      <c r="M44" s="336">
        <v>17.3</v>
      </c>
      <c r="N44" s="336">
        <v>18.2</v>
      </c>
      <c r="O44" s="336">
        <v>18.100000000000001</v>
      </c>
      <c r="P44" s="336">
        <v>19.399999999999999</v>
      </c>
      <c r="Q44" s="336">
        <v>18.5</v>
      </c>
      <c r="R44" s="336">
        <v>18.734000000000002</v>
      </c>
      <c r="S44" s="336">
        <v>22.552</v>
      </c>
      <c r="T44" s="336">
        <v>21.427</v>
      </c>
      <c r="U44" s="336">
        <v>21.919</v>
      </c>
      <c r="V44" s="336">
        <v>21.265000000000001</v>
      </c>
      <c r="W44" s="336">
        <v>21.077000000000002</v>
      </c>
      <c r="X44" s="336">
        <v>19.170999999999999</v>
      </c>
      <c r="Y44" s="336">
        <v>18.576000000000001</v>
      </c>
      <c r="Z44" s="337">
        <v>20.974</v>
      </c>
      <c r="AA44" s="337">
        <v>21.443999999999999</v>
      </c>
      <c r="AB44" s="337">
        <v>22.401</v>
      </c>
      <c r="AC44" s="337">
        <v>22.143000000000001</v>
      </c>
      <c r="AD44" s="337">
        <v>19.341999999999999</v>
      </c>
      <c r="AE44" s="337">
        <v>17.053000000000001</v>
      </c>
      <c r="AF44" s="337">
        <v>17.167000000000002</v>
      </c>
      <c r="AG44" s="337">
        <v>17.206</v>
      </c>
      <c r="AH44" s="337">
        <v>16.884</v>
      </c>
      <c r="AI44" s="380"/>
      <c r="AJ44" s="283"/>
      <c r="AK44" s="279" t="s">
        <v>21</v>
      </c>
      <c r="AL44" s="428"/>
      <c r="AM44" s="428"/>
      <c r="AN44" s="428"/>
      <c r="AO44" s="428"/>
      <c r="AP44" s="428"/>
      <c r="AQ44" s="428"/>
      <c r="AR44" s="428"/>
      <c r="AS44" s="428"/>
      <c r="AT44" s="428"/>
      <c r="AU44" s="428"/>
      <c r="AV44" s="428"/>
      <c r="AW44" s="428"/>
      <c r="AX44" s="428"/>
      <c r="AY44" s="428"/>
      <c r="AZ44" s="428"/>
      <c r="BA44" s="428"/>
      <c r="BB44" s="428"/>
    </row>
    <row r="45" spans="1:54" ht="17.25" customHeight="1" x14ac:dyDescent="0.2">
      <c r="A45" s="15"/>
      <c r="B45" s="587" t="s">
        <v>143</v>
      </c>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c r="AK45" s="588"/>
      <c r="AL45" s="428"/>
      <c r="AM45" s="428"/>
      <c r="AN45" s="428"/>
      <c r="AO45" s="428"/>
      <c r="AP45" s="428"/>
      <c r="AQ45" s="428"/>
      <c r="AR45" s="428"/>
      <c r="AS45" s="428"/>
      <c r="AT45" s="428"/>
      <c r="AU45" s="428"/>
      <c r="AV45" s="428"/>
      <c r="AW45" s="428"/>
      <c r="AX45" s="428"/>
      <c r="AY45" s="428"/>
      <c r="AZ45" s="428"/>
      <c r="BA45" s="428"/>
      <c r="BB45" s="428"/>
    </row>
    <row r="46" spans="1:54" ht="13.5" customHeight="1" x14ac:dyDescent="0.2">
      <c r="A46" s="15"/>
      <c r="B46" s="185" t="s">
        <v>139</v>
      </c>
      <c r="C46" s="409"/>
      <c r="D46" s="409"/>
      <c r="E46" s="409"/>
      <c r="F46" s="409"/>
      <c r="G46" s="409"/>
      <c r="H46" s="409"/>
      <c r="I46" s="409"/>
      <c r="J46" s="409"/>
      <c r="K46" s="409"/>
      <c r="L46" s="409"/>
      <c r="M46" s="409"/>
      <c r="N46" s="409"/>
      <c r="O46" s="409"/>
      <c r="P46" s="409"/>
      <c r="Q46" s="409"/>
      <c r="R46" s="409"/>
      <c r="S46" s="124"/>
      <c r="T46" s="124"/>
      <c r="U46" s="124"/>
      <c r="V46" s="124"/>
      <c r="W46" s="124"/>
      <c r="X46" s="124"/>
      <c r="Y46" s="124"/>
      <c r="Z46" s="124"/>
      <c r="AA46" s="124"/>
      <c r="AB46" s="124"/>
      <c r="AC46" s="124"/>
      <c r="AD46" s="124"/>
      <c r="AE46" s="124"/>
      <c r="AF46" s="124"/>
      <c r="AG46" s="124"/>
      <c r="AH46" s="124"/>
      <c r="AI46" s="124"/>
      <c r="AL46" s="428"/>
      <c r="AM46" s="428"/>
      <c r="AN46" s="428"/>
      <c r="AO46" s="428"/>
      <c r="AP46" s="428"/>
      <c r="AQ46" s="428"/>
      <c r="AR46" s="428"/>
      <c r="AS46" s="428"/>
      <c r="AT46" s="428"/>
      <c r="AU46" s="428"/>
      <c r="AV46" s="428"/>
      <c r="AW46" s="428"/>
      <c r="AX46" s="428"/>
      <c r="AY46" s="428"/>
      <c r="AZ46" s="428"/>
      <c r="BA46" s="428"/>
      <c r="BB46" s="428"/>
    </row>
    <row r="47" spans="1:54" ht="12" customHeight="1" x14ac:dyDescent="0.2">
      <c r="A47" s="3"/>
      <c r="B47" s="585" t="s">
        <v>155</v>
      </c>
      <c r="C47" s="585"/>
      <c r="D47" s="585"/>
      <c r="E47" s="585"/>
      <c r="F47" s="585"/>
      <c r="G47" s="585"/>
      <c r="H47" s="585"/>
      <c r="I47" s="585"/>
      <c r="J47" s="585"/>
      <c r="K47" s="585"/>
      <c r="L47" s="585"/>
      <c r="M47" s="585"/>
      <c r="N47" s="585"/>
      <c r="O47" s="585"/>
      <c r="R47" s="2"/>
      <c r="AJ47" s="404"/>
      <c r="AL47" s="428"/>
      <c r="AM47" s="428"/>
      <c r="AN47" s="428"/>
      <c r="AO47" s="428"/>
      <c r="AP47" s="428"/>
      <c r="AQ47" s="428"/>
      <c r="AR47" s="428"/>
      <c r="AS47" s="428"/>
      <c r="AT47" s="428"/>
      <c r="AU47" s="428"/>
      <c r="AV47" s="428"/>
      <c r="AW47" s="428"/>
      <c r="AX47" s="428"/>
      <c r="AY47" s="428"/>
      <c r="AZ47" s="428"/>
      <c r="BA47" s="428"/>
      <c r="BB47" s="428"/>
    </row>
    <row r="48" spans="1:54" x14ac:dyDescent="0.2">
      <c r="U48"/>
      <c r="V48"/>
      <c r="W48"/>
      <c r="X48"/>
      <c r="AE48" s="582"/>
      <c r="AF48" s="582"/>
      <c r="AG48" s="582"/>
      <c r="AH48" s="582"/>
      <c r="AI48" s="582"/>
      <c r="AJ48" s="582"/>
      <c r="AK48" s="582"/>
      <c r="AL48" s="428"/>
      <c r="AM48" s="428"/>
      <c r="AN48" s="428"/>
      <c r="AO48" s="428"/>
      <c r="AP48" s="428"/>
      <c r="AQ48" s="428"/>
      <c r="AR48" s="428"/>
      <c r="AS48" s="428"/>
      <c r="AT48" s="428"/>
      <c r="AU48" s="428"/>
      <c r="AV48" s="428"/>
      <c r="AW48" s="428"/>
      <c r="AX48" s="428"/>
      <c r="AY48" s="428"/>
      <c r="AZ48" s="428"/>
      <c r="BA48" s="428"/>
      <c r="BB48" s="428"/>
    </row>
    <row r="49" spans="31:37" x14ac:dyDescent="0.2">
      <c r="AE49" s="582"/>
      <c r="AF49" s="582"/>
      <c r="AG49" s="582"/>
      <c r="AH49" s="582"/>
      <c r="AI49" s="582"/>
      <c r="AJ49" s="582"/>
      <c r="AK49" s="582"/>
    </row>
    <row r="78" ht="18.75" customHeight="1" x14ac:dyDescent="0.2"/>
  </sheetData>
  <mergeCells count="7">
    <mergeCell ref="AE49:AK49"/>
    <mergeCell ref="AJ5:AJ6"/>
    <mergeCell ref="AH4:AI4"/>
    <mergeCell ref="B47:O47"/>
    <mergeCell ref="B3:AK3"/>
    <mergeCell ref="B45:AK45"/>
    <mergeCell ref="AE48:AK48"/>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T2.2</vt:lpstr>
      <vt:lpstr>freight_graph</vt:lpstr>
      <vt:lpstr>perf_mode_tkm</vt:lpstr>
      <vt:lpstr>perf_land _tkm</vt:lpstr>
      <vt:lpstr>road_by_nat</vt:lpstr>
      <vt:lpstr>road_by_int</vt:lpstr>
      <vt:lpstr>road_by_tot</vt:lpstr>
      <vt:lpstr>road_ter</vt:lpstr>
      <vt:lpstr>rail_tkm</vt:lpstr>
      <vt:lpstr>iww</vt:lpstr>
      <vt:lpstr>pipeline</vt:lpstr>
      <vt:lpstr>usa_goods</vt:lpstr>
      <vt:lpstr>T2.2!A</vt:lpstr>
      <vt:lpstr>iww!Print_Area</vt:lpstr>
      <vt:lpstr>perf_mode_tkm!Print_Area</vt:lpstr>
      <vt:lpstr>pipeline!Print_Area</vt:lpstr>
      <vt:lpstr>rail_tkm!Print_Area</vt:lpstr>
      <vt:lpstr>road_by_int!Print_Area</vt:lpstr>
      <vt:lpstr>road_by_nat!Print_Area</vt:lpstr>
      <vt:lpstr>road_by_tot!Print_Area</vt:lpstr>
      <vt:lpstr>road_ter!Print_Area</vt:lpstr>
      <vt:lpstr>T2.2!Print_Area</vt:lpstr>
      <vt:lpstr>usa_goods!Print_Area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LUPU Iuliana (MOVE)</cp:lastModifiedBy>
  <cp:lastPrinted>2019-05-14T08:11:29Z</cp:lastPrinted>
  <dcterms:created xsi:type="dcterms:W3CDTF">2003-09-05T14:33:05Z</dcterms:created>
  <dcterms:modified xsi:type="dcterms:W3CDTF">2022-09-15T13:36:01Z</dcterms:modified>
</cp:coreProperties>
</file>