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0" yWindow="255" windowWidth="18765" windowHeight="12225" tabRatio="882" activeTab="7"/>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'bus_coach'!$B$1:$AG$50</definedName>
    <definedName name="_xlnm.Print_Area" localSheetId="4">'cars'!$B$1:$AG$47</definedName>
    <definedName name="_xlnm.Print_Area" localSheetId="8">'hs_rail'!#REF!</definedName>
    <definedName name="_xlnm.Print_Area" localSheetId="1">'passeng_graph'!$B$1:$N$32</definedName>
    <definedName name="_xlnm.Print_Area" localSheetId="2">'perf_mode_pkm'!$B$1:$J$59</definedName>
    <definedName name="_xlnm.Print_Area" localSheetId="7">'rail_pkm'!$B$1:$AL$43</definedName>
    <definedName name="_xlnm.Print_Area" localSheetId="3">'split_mode_pkm'!$B$1:$G$47</definedName>
    <definedName name="_xlnm.Print_Area" localSheetId="0">'T2.3'!$B$1:$E$25</definedName>
    <definedName name="_xlnm.Print_Area" localSheetId="6">'tram_metro'!$B$1:$AG$47</definedName>
    <definedName name="_xlnm.Print_Area" localSheetId="9">'USA'!$B$1:$I$76</definedName>
    <definedName name="Z_534C28F4_E90D_11D3_A4B3_0050041AE0D6_.wvu.PrintArea" localSheetId="3" hidden="1">'split_mode_pkm'!$C$1:$G$19</definedName>
  </definedNames>
  <calcPr fullCalcOnLoad="1"/>
</workbook>
</file>

<file path=xl/sharedStrings.xml><?xml version="1.0" encoding="utf-8"?>
<sst xmlns="http://schemas.openxmlformats.org/spreadsheetml/2006/main" count="1264" uniqueCount="147">
  <si>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</si>
  <si>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</si>
  <si>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</si>
  <si>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</si>
  <si>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</si>
  <si>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</si>
  <si>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</si>
  <si>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</si>
  <si>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</si>
  <si>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</si>
  <si>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</si>
  <si>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</si>
  <si>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</si>
  <si>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</si>
  <si>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</si>
  <si>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</si>
  <si>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</si>
  <si>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</si>
  <si>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</si>
  <si>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</si>
  <si>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</si>
  <si>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</si>
  <si>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</si>
  <si>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</si>
  <si>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</si>
  <si>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</si>
  <si>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</si>
  <si>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</si>
  <si>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</si>
  <si>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</si>
  <si>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</si>
  <si>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</si>
  <si>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</si>
  <si>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</si>
  <si>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</si>
  <si>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</si>
  <si>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</si>
  <si>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</si>
  <si>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</si>
  <si>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</si>
  <si>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</si>
  <si>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</si>
  <si>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</si>
  <si>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</si>
  <si>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</si>
  <si>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</si>
  <si>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</si>
  <si>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</si>
  <si>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</si>
  <si>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</si>
  <si>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</si>
  <si>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</si>
  <si>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Note:</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</si>
  <si>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</si>
  <si>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</si>
  <si>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</si>
  <si>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</si>
  <si>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</si>
  <si>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</si>
  <si>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</si>
  <si>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</si>
  <si>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</si>
  <si>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</si>
  <si>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</si>
  <si>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</si>
  <si>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</si>
  <si>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</si>
  <si>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</si>
  <si>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</si>
  <si>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</si>
  <si>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</si>
  <si>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</si>
  <si>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</si>
  <si>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</si>
  <si>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</si>
  <si>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</si>
  <si>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</si>
  <si>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</si>
  <si>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</si>
  <si>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</si>
  <si>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t>Pass -enger Cars</t>
  </si>
  <si>
    <t>Rail -way</t>
  </si>
  <si>
    <t>Modal Split of Passenger Transport on Land by Country</t>
  </si>
  <si>
    <r>
      <t>UK:</t>
    </r>
    <r>
      <rPr>
        <sz val="8"/>
        <rFont val="Arial"/>
        <family val="2"/>
      </rPr>
      <t xml:space="preserve"> GB data + 1.5 bln pkm throughout to account for Northern Ireland</t>
    </r>
  </si>
  <si>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</si>
  <si>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</si>
  <si>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</si>
  <si>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</si>
  <si>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</si>
  <si>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</si>
  <si>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</si>
  <si>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</si>
  <si>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</si>
  <si>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</si>
  <si>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</si>
  <si>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</si>
  <si>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</si>
  <si>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</si>
  <si>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</si>
  <si>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</si>
  <si>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</si>
  <si>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</si>
  <si>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</si>
  <si>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</si>
  <si>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</si>
  <si>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</si>
  <si>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</si>
  <si>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</si>
  <si>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</si>
  <si>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</si>
  <si>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EU-28 Performance by Mode</t>
  </si>
  <si>
    <t>% under PSO (*)</t>
  </si>
  <si>
    <t>AL</t>
  </si>
  <si>
    <t>EU-28</t>
  </si>
  <si>
    <r>
      <t>FR:</t>
    </r>
    <r>
      <rPr>
        <sz val="8"/>
        <rFont val="Arial"/>
        <family val="2"/>
      </rPr>
      <t xml:space="preserve"> passenger-km include transport activity on the territory of vehicles not registered in France. Includes foreign vans.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</si>
  <si>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</si>
  <si>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</si>
  <si>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</si>
  <si>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</si>
  <si>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</si>
  <si>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</si>
  <si>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</si>
  <si>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</si>
  <si>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</si>
  <si>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</si>
  <si>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rPr>
        <b/>
        <sz val="8"/>
        <rFont val="Arial"/>
        <family val="2"/>
      </rPr>
      <t>PL:</t>
    </r>
    <r>
      <rPr>
        <sz val="8"/>
        <rFont val="Arial"/>
        <family val="2"/>
      </rPr>
      <t xml:space="preserve"> includes long-distance transport and estimated data for urban transport.</t>
    </r>
  </si>
  <si>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</si>
  <si>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</si>
  <si>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</si>
  <si>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</si>
  <si>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t>change 15/16</t>
  </si>
  <si>
    <t xml:space="preserve">Data is not harmonised and therefore not fully comparable. 2016 data may be provisional. Data sometimes includes activity of foreign vehicles performed within the country, therefore  EU aggregates might be affected by double-counting. </t>
  </si>
  <si>
    <t>Data is not harmonised and therefore not fully comparable. 2016 data may be provisional. Data sometimes includes activity of foreign vehicles performed within the country, therefore  EU aggregates might be affected by double-counting. Generally vans are not considered in this table, but there may be exceptions.</t>
  </si>
  <si>
    <t>Data are not harmonised and therefore not fully comparable across countries. Data for 2016 are mostly provisional.</t>
  </si>
  <si>
    <r>
      <t xml:space="preserve">CS: </t>
    </r>
    <r>
      <rPr>
        <sz val="8"/>
        <rFont val="Arial"/>
        <family val="2"/>
      </rPr>
      <t>1990: 43.4</t>
    </r>
  </si>
  <si>
    <r>
      <t xml:space="preserve">DK: </t>
    </r>
    <r>
      <rPr>
        <sz val="8"/>
        <rFont val="Arial"/>
        <family val="2"/>
      </rPr>
      <t>figures exclude activity of vans with a mass higher than 2 000 kg.</t>
    </r>
  </si>
  <si>
    <t xml:space="preserve">If powered two-wheelers are included, they account for 2.08% of the total in EU-28, while the share of the other modes becomes: </t>
  </si>
  <si>
    <t>1995 -2016</t>
  </si>
  <si>
    <t>2000 -2016</t>
  </si>
  <si>
    <t>2015- 2016</t>
  </si>
  <si>
    <r>
      <t xml:space="preserve">Air </t>
    </r>
    <r>
      <rPr>
        <sz val="8"/>
        <rFont val="Arial"/>
        <family val="2"/>
      </rPr>
      <t>and</t>
    </r>
    <r>
      <rPr>
        <b/>
        <sz val="8"/>
        <rFont val="Arial"/>
        <family val="2"/>
      </rPr>
      <t xml:space="preserve"> Sea</t>
    </r>
    <r>
      <rPr>
        <sz val="8"/>
        <rFont val="Arial"/>
        <family val="2"/>
      </rPr>
      <t>: only domestic and intra-EU-28 transport; provisional estimates.</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</si>
  <si>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</si>
  <si>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</si>
  <si>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</si>
  <si>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t>2000- 2016</t>
  </si>
  <si>
    <r>
      <t>Notes:</t>
    </r>
    <r>
      <rPr>
        <sz val="8"/>
        <rFont val="Arial"/>
        <family val="2"/>
      </rPr>
      <t xml:space="preserve">  </t>
    </r>
    <r>
      <rPr>
        <b/>
        <sz val="8"/>
        <rFont val="Arial"/>
        <family val="2"/>
      </rPr>
      <t>BE</t>
    </r>
    <r>
      <rPr>
        <sz val="8"/>
        <rFont val="Arial"/>
        <family val="2"/>
      </rPr>
      <t xml:space="preserve"> as of 2014, data are ITF estimates. </t>
    </r>
    <r>
      <rPr>
        <b/>
        <sz val="8"/>
        <rFont val="Arial"/>
        <family val="2"/>
      </rPr>
      <t>UK</t>
    </r>
    <r>
      <rPr>
        <sz val="8"/>
        <rFont val="Arial"/>
        <family val="2"/>
      </rPr>
      <t xml:space="preserve"> share of PSO excludes Northern Ireland. EU-28 shares of PSO estimated on the basis of the available data.</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</si>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</sst>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19">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b/>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sz val="18"/>
      <name val="P-AVGARD"/>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8"/>
      <color indexed="8"/>
      <name val="Arial"/>
      <family val="2"/>
    </font>
    <font>
      <sz val="10"/>
      <color indexed="24"/>
      <name val="Arial"/>
      <family val="2"/>
    </font>
    <font>
      <sz val="12"/>
      <color indexed="24"/>
      <name val="Arial"/>
      <family val="2"/>
    </font>
    <font>
      <b/>
      <sz val="12"/>
      <name val="Calibri"/>
      <family val="2"/>
    </font>
    <font>
      <sz val="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i/>
      <sz val="12"/>
      <color indexed="8"/>
      <name val="Times New Roman"/>
      <family val="1"/>
    </font>
    <font>
      <u val="single"/>
      <sz val="11"/>
      <color indexed="30"/>
      <name val="Calibri"/>
      <family val="2"/>
    </font>
    <font>
      <sz val="11"/>
      <color indexed="8"/>
      <name val="Czcionka tekstu podstawowego"/>
      <family val="2"/>
    </font>
    <font>
      <b/>
      <sz val="13"/>
      <color indexed="9"/>
      <name val="Calibri"/>
      <family val="2"/>
    </font>
    <font>
      <sz val="18"/>
      <color indexed="62"/>
      <name val="Cambria"/>
      <family val="2"/>
    </font>
    <font>
      <u val="single"/>
      <sz val="11"/>
      <color indexed="12"/>
      <name val="Calibri"/>
      <family val="2"/>
    </font>
    <font>
      <b/>
      <sz val="8"/>
      <color indexed="8"/>
      <name val="Arial"/>
      <family val="2"/>
    </font>
    <font>
      <b/>
      <sz val="12"/>
      <color indexed="8"/>
      <name val="Arial"/>
      <family val="2"/>
    </font>
    <font>
      <sz val="7.35"/>
      <color indexed="8"/>
      <name val="Arial"/>
      <family val="2"/>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sz val="18"/>
      <color theme="3"/>
      <name val="Cambria"/>
      <family val="2"/>
    </font>
    <font>
      <b/>
      <sz val="11"/>
      <color theme="1"/>
      <name val="Calibri"/>
      <family val="2"/>
    </font>
    <font>
      <sz val="11"/>
      <color rgb="FFFF0000"/>
      <name val="Calibri"/>
      <family val="2"/>
    </font>
  </fonts>
  <fills count="73">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style="thin"/>
      <right style="thin"/>
      <top/>
      <bottom style="thin"/>
    </border>
    <border>
      <left/>
      <right style="thin"/>
      <top/>
      <bottom/>
    </border>
    <border>
      <left style="thin"/>
      <right/>
      <top/>
      <bottom/>
    </border>
    <border>
      <left/>
      <right/>
      <top style="thin"/>
      <bottom style="thin"/>
    </border>
    <border>
      <left style="thin"/>
      <right/>
      <top style="hair"/>
      <bottom style="thin"/>
    </border>
    <border>
      <left/>
      <right/>
      <top style="hair"/>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right/>
      <top style="thin"/>
      <bottom/>
    </border>
    <border>
      <left/>
      <right style="thin"/>
      <top style="thin"/>
      <bottom/>
    </border>
    <border>
      <left style="thin"/>
      <right/>
      <top style="thin"/>
      <bottom/>
    </border>
    <border>
      <left/>
      <right style="thin"/>
      <top style="thin"/>
      <bottom style="thin"/>
    </border>
    <border>
      <left/>
      <right/>
      <top style="thick"/>
      <bottom/>
    </border>
    <border>
      <left style="thick"/>
      <right/>
      <top/>
      <bottom style="thin"/>
    </border>
    <border>
      <left/>
      <right style="thick"/>
      <top/>
      <bottom style="thin"/>
    </border>
    <border>
      <left style="thick"/>
      <right/>
      <top/>
      <bottom/>
    </border>
    <border>
      <left/>
      <right style="thick"/>
      <top/>
      <bottom/>
    </border>
    <border>
      <left/>
      <right style="thin"/>
      <top/>
      <bottom style="thin"/>
    </border>
    <border>
      <left style="thin"/>
      <right/>
      <top style="thick"/>
      <bottom/>
    </border>
    <border>
      <left/>
      <right style="thin"/>
      <top style="thick"/>
      <bottom/>
    </border>
    <border>
      <left style="thin"/>
      <right/>
      <top/>
      <bottom style="thin"/>
    </border>
    <border>
      <left style="thick"/>
      <right style="thin"/>
      <top/>
      <bottom/>
    </border>
    <border>
      <left style="thick"/>
      <right>
        <color indexed="63"/>
      </right>
      <top style="thin"/>
      <bottom>
        <color indexed="63"/>
      </bottom>
    </border>
  </borders>
  <cellStyleXfs count="3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88" fillId="3" borderId="0" applyNumberFormat="0" applyBorder="0" applyAlignment="0" applyProtection="0"/>
    <xf numFmtId="0" fontId="1" fillId="4" borderId="0" applyNumberFormat="0" applyBorder="0" applyAlignment="0" applyProtection="0"/>
    <xf numFmtId="0" fontId="88" fillId="3" borderId="0" applyNumberFormat="0" applyBorder="0" applyAlignment="0" applyProtection="0"/>
    <xf numFmtId="0" fontId="88" fillId="5" borderId="0" applyNumberFormat="0" applyBorder="0" applyAlignment="0" applyProtection="0"/>
    <xf numFmtId="0" fontId="1" fillId="6" borderId="0" applyNumberFormat="0" applyBorder="0" applyAlignment="0" applyProtection="0"/>
    <xf numFmtId="0" fontId="88" fillId="5" borderId="0" applyNumberFormat="0" applyBorder="0" applyAlignment="0" applyProtection="0"/>
    <xf numFmtId="0" fontId="88" fillId="7" borderId="0" applyNumberFormat="0" applyBorder="0" applyAlignment="0" applyProtection="0"/>
    <xf numFmtId="0" fontId="1" fillId="8" borderId="0" applyNumberFormat="0" applyBorder="0" applyAlignment="0" applyProtection="0"/>
    <xf numFmtId="0" fontId="88" fillId="7" borderId="0" applyNumberFormat="0" applyBorder="0" applyAlignment="0" applyProtection="0"/>
    <xf numFmtId="0" fontId="88" fillId="9" borderId="0" applyNumberFormat="0" applyBorder="0" applyAlignment="0" applyProtection="0"/>
    <xf numFmtId="0" fontId="1" fillId="10" borderId="0" applyNumberFormat="0" applyBorder="0" applyAlignment="0" applyProtection="0"/>
    <xf numFmtId="0" fontId="88" fillId="9" borderId="0" applyNumberFormat="0" applyBorder="0" applyAlignment="0" applyProtection="0"/>
    <xf numFmtId="0" fontId="88" fillId="11" borderId="0" applyNumberFormat="0" applyBorder="0" applyAlignment="0" applyProtection="0"/>
    <xf numFmtId="0" fontId="1" fillId="12" borderId="0" applyNumberFormat="0" applyBorder="0" applyAlignment="0" applyProtection="0"/>
    <xf numFmtId="0" fontId="88" fillId="11" borderId="0" applyNumberFormat="0" applyBorder="0" applyAlignment="0" applyProtection="0"/>
    <xf numFmtId="0" fontId="88" fillId="13" borderId="0" applyNumberFormat="0" applyBorder="0" applyAlignment="0" applyProtection="0"/>
    <xf numFmtId="0" fontId="1" fillId="2"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1" fillId="15" borderId="0" applyNumberFormat="0" applyBorder="0" applyAlignment="0" applyProtection="0"/>
    <xf numFmtId="0" fontId="88" fillId="14" borderId="0" applyNumberFormat="0" applyBorder="0" applyAlignment="0" applyProtection="0"/>
    <xf numFmtId="0" fontId="88" fillId="16" borderId="0" applyNumberFormat="0" applyBorder="0" applyAlignment="0" applyProtection="0"/>
    <xf numFmtId="0" fontId="1" fillId="17" borderId="0" applyNumberFormat="0" applyBorder="0" applyAlignment="0" applyProtection="0"/>
    <xf numFmtId="0" fontId="88" fillId="16" borderId="0" applyNumberFormat="0" applyBorder="0" applyAlignment="0" applyProtection="0"/>
    <xf numFmtId="0" fontId="88" fillId="18" borderId="0" applyNumberFormat="0" applyBorder="0" applyAlignment="0" applyProtection="0"/>
    <xf numFmtId="0" fontId="1" fillId="19" borderId="0" applyNumberFormat="0" applyBorder="0" applyAlignment="0" applyProtection="0"/>
    <xf numFmtId="0" fontId="88" fillId="18" borderId="0" applyNumberFormat="0" applyBorder="0" applyAlignment="0" applyProtection="0"/>
    <xf numFmtId="0" fontId="88" fillId="20" borderId="0" applyNumberFormat="0" applyBorder="0" applyAlignment="0" applyProtection="0"/>
    <xf numFmtId="0" fontId="1" fillId="10"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1" fillId="15"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1" fillId="23" borderId="0" applyNumberFormat="0" applyBorder="0" applyAlignment="0" applyProtection="0"/>
    <xf numFmtId="0" fontId="88" fillId="22" borderId="0" applyNumberFormat="0" applyBorder="0" applyAlignment="0" applyProtection="0"/>
    <xf numFmtId="0" fontId="89" fillId="24" borderId="0" applyNumberFormat="0" applyBorder="0" applyAlignment="0" applyProtection="0"/>
    <xf numFmtId="0" fontId="49" fillId="25" borderId="0" applyNumberFormat="0" applyBorder="0" applyAlignment="0" applyProtection="0"/>
    <xf numFmtId="0" fontId="89" fillId="26" borderId="0" applyNumberFormat="0" applyBorder="0" applyAlignment="0" applyProtection="0"/>
    <xf numFmtId="0" fontId="49" fillId="17" borderId="0" applyNumberFormat="0" applyBorder="0" applyAlignment="0" applyProtection="0"/>
    <xf numFmtId="0" fontId="89" fillId="27" borderId="0" applyNumberFormat="0" applyBorder="0" applyAlignment="0" applyProtection="0"/>
    <xf numFmtId="0" fontId="49" fillId="19" borderId="0" applyNumberFormat="0" applyBorder="0" applyAlignment="0" applyProtection="0"/>
    <xf numFmtId="0" fontId="89" fillId="28" borderId="0" applyNumberFormat="0" applyBorder="0" applyAlignment="0" applyProtection="0"/>
    <xf numFmtId="0" fontId="49" fillId="29" borderId="0" applyNumberFormat="0" applyBorder="0" applyAlignment="0" applyProtection="0"/>
    <xf numFmtId="0" fontId="89" fillId="30" borderId="0" applyNumberFormat="0" applyBorder="0" applyAlignment="0" applyProtection="0"/>
    <xf numFmtId="0" fontId="49" fillId="31" borderId="0" applyNumberFormat="0" applyBorder="0" applyAlignment="0" applyProtection="0"/>
    <xf numFmtId="0" fontId="89" fillId="32" borderId="0" applyNumberFormat="0" applyBorder="0" applyAlignment="0" applyProtection="0"/>
    <xf numFmtId="0" fontId="49" fillId="33" borderId="0" applyNumberFormat="0" applyBorder="0" applyAlignment="0" applyProtection="0"/>
    <xf numFmtId="0" fontId="90" fillId="34" borderId="0" applyProtection="0">
      <alignment vertical="center"/>
    </xf>
    <xf numFmtId="0" fontId="69" fillId="35" borderId="0" applyProtection="0">
      <alignment vertical="center"/>
    </xf>
    <xf numFmtId="0" fontId="89" fillId="36" borderId="0" applyNumberFormat="0" applyBorder="0" applyAlignment="0" applyProtection="0"/>
    <xf numFmtId="0" fontId="49" fillId="37" borderId="0" applyNumberFormat="0" applyBorder="0" applyAlignment="0" applyProtection="0"/>
    <xf numFmtId="0" fontId="89" fillId="38" borderId="0" applyNumberFormat="0" applyBorder="0" applyAlignment="0" applyProtection="0"/>
    <xf numFmtId="0" fontId="49" fillId="39" borderId="0" applyNumberFormat="0" applyBorder="0" applyAlignment="0" applyProtection="0"/>
    <xf numFmtId="0" fontId="89" fillId="40" borderId="0" applyNumberFormat="0" applyBorder="0" applyAlignment="0" applyProtection="0"/>
    <xf numFmtId="0" fontId="49" fillId="41" borderId="0" applyNumberFormat="0" applyBorder="0" applyAlignment="0" applyProtection="0"/>
    <xf numFmtId="0" fontId="89" fillId="42" borderId="0" applyNumberFormat="0" applyBorder="0" applyAlignment="0" applyProtection="0"/>
    <xf numFmtId="0" fontId="49" fillId="29" borderId="0" applyNumberFormat="0" applyBorder="0" applyAlignment="0" applyProtection="0"/>
    <xf numFmtId="0" fontId="89" fillId="43" borderId="0" applyNumberFormat="0" applyBorder="0" applyAlignment="0" applyProtection="0"/>
    <xf numFmtId="0" fontId="49" fillId="31" borderId="0" applyNumberFormat="0" applyBorder="0" applyAlignment="0" applyProtection="0"/>
    <xf numFmtId="0" fontId="89" fillId="44" borderId="0" applyNumberFormat="0" applyBorder="0" applyAlignment="0" applyProtection="0"/>
    <xf numFmtId="0" fontId="49" fillId="45" borderId="0" applyNumberFormat="0" applyBorder="0" applyAlignment="0" applyProtection="0"/>
    <xf numFmtId="0" fontId="91" fillId="46" borderId="0" applyNumberFormat="0" applyBorder="0" applyAlignment="0" applyProtection="0"/>
    <xf numFmtId="0" fontId="50" fillId="6" borderId="0" applyNumberFormat="0" applyBorder="0" applyAlignment="0" applyProtection="0"/>
    <xf numFmtId="184" fontId="70" fillId="0" borderId="0">
      <alignment vertical="center"/>
      <protection/>
    </xf>
    <xf numFmtId="185" fontId="70" fillId="0" borderId="0">
      <alignment horizontal="right" vertical="center"/>
      <protection/>
    </xf>
    <xf numFmtId="0" fontId="92" fillId="47" borderId="1" applyNumberFormat="0" applyAlignment="0" applyProtection="0"/>
    <xf numFmtId="0" fontId="51" fillId="48" borderId="2" applyNumberFormat="0" applyAlignment="0" applyProtection="0"/>
    <xf numFmtId="0" fontId="93" fillId="49" borderId="3" applyNumberFormat="0" applyAlignment="0" applyProtection="0"/>
    <xf numFmtId="0" fontId="52" fillId="50" borderId="4" applyNumberFormat="0" applyAlignment="0" applyProtection="0"/>
    <xf numFmtId="0" fontId="37"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0" fontId="38"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88" fillId="0" borderId="0" applyFont="0" applyFill="0" applyBorder="0" applyAlignment="0" applyProtection="0"/>
    <xf numFmtId="180" fontId="88" fillId="0" borderId="0" applyFont="0" applyFill="0" applyBorder="0" applyAlignment="0" applyProtection="0"/>
    <xf numFmtId="180" fontId="0" fillId="0" borderId="0" applyFont="0" applyFill="0" applyBorder="0" applyAlignment="0" applyProtection="0"/>
    <xf numFmtId="182" fontId="94" fillId="0" borderId="0" applyFont="0" applyFill="0" applyBorder="0" applyAlignment="0" applyProtection="0"/>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7" fontId="40" fillId="0" borderId="5">
      <alignment horizontal="right" vertical="center"/>
      <protection/>
    </xf>
    <xf numFmtId="177" fontId="40" fillId="0" borderId="5">
      <alignment horizontal="right" vertical="center"/>
      <protection/>
    </xf>
    <xf numFmtId="49" fontId="41" fillId="0" borderId="5">
      <alignment horizontal="left" vertical="center"/>
      <protection/>
    </xf>
    <xf numFmtId="49" fontId="41" fillId="0" borderId="5">
      <alignment horizontal="left" vertical="center"/>
      <protection/>
    </xf>
    <xf numFmtId="176" fontId="39" fillId="0" borderId="5" applyNumberFormat="0" applyFill="0">
      <alignment horizontal="right"/>
      <protection/>
    </xf>
    <xf numFmtId="173" fontId="30" fillId="0" borderId="0" applyFont="0" applyFill="0" applyBorder="0" applyAlignment="0" applyProtection="0"/>
    <xf numFmtId="0" fontId="95" fillId="0" borderId="0" applyNumberFormat="0" applyFill="0" applyBorder="0" applyAlignment="0" applyProtection="0"/>
    <xf numFmtId="0" fontId="53" fillId="0" borderId="0" applyNumberFormat="0" applyFill="0" applyBorder="0" applyAlignment="0" applyProtection="0"/>
    <xf numFmtId="183" fontId="94" fillId="0" borderId="0" applyBorder="0" applyProtection="0">
      <alignment/>
    </xf>
    <xf numFmtId="2" fontId="68" fillId="0" borderId="0" applyFill="0" applyBorder="0" applyAlignment="0" applyProtection="0"/>
    <xf numFmtId="0" fontId="47" fillId="0" borderId="0" applyNumberFormat="0" applyFill="0" applyBorder="0" applyAlignment="0" applyProtection="0"/>
    <xf numFmtId="0" fontId="96" fillId="51" borderId="0" applyNumberFormat="0" applyBorder="0" applyAlignment="0" applyProtection="0"/>
    <xf numFmtId="0" fontId="54" fillId="8" borderId="0" applyNumberFormat="0" applyBorder="0" applyAlignment="0" applyProtection="0"/>
    <xf numFmtId="0" fontId="31" fillId="0" borderId="0">
      <alignment horizontal="left"/>
      <protection/>
    </xf>
    <xf numFmtId="0" fontId="97" fillId="0" borderId="6" applyNumberFormat="0" applyFill="0" applyAlignment="0" applyProtection="0"/>
    <xf numFmtId="0" fontId="55" fillId="0" borderId="7" applyNumberFormat="0" applyFill="0" applyAlignment="0" applyProtection="0"/>
    <xf numFmtId="0" fontId="98" fillId="0" borderId="8" applyNumberFormat="0" applyFill="0" applyAlignment="0" applyProtection="0"/>
    <xf numFmtId="0" fontId="56" fillId="0" borderId="9" applyNumberFormat="0" applyFill="0" applyAlignment="0" applyProtection="0"/>
    <xf numFmtId="0" fontId="99" fillId="0" borderId="10" applyNumberFormat="0" applyFill="0" applyAlignment="0" applyProtection="0"/>
    <xf numFmtId="0" fontId="57" fillId="0" borderId="11" applyNumberFormat="0" applyFill="0" applyAlignment="0" applyProtection="0"/>
    <xf numFmtId="0" fontId="99" fillId="0" borderId="0" applyNumberFormat="0" applyFill="0" applyBorder="0" applyAlignment="0" applyProtection="0"/>
    <xf numFmtId="0" fontId="57" fillId="0" borderId="0" applyNumberFormat="0" applyFill="0" applyBorder="0" applyAlignment="0" applyProtection="0"/>
    <xf numFmtId="0" fontId="100" fillId="0" borderId="0" applyBorder="0" applyProtection="0">
      <alignment horizontal="left"/>
    </xf>
    <xf numFmtId="0" fontId="42" fillId="0" borderId="5">
      <alignment horizontal="left"/>
      <protection/>
    </xf>
    <xf numFmtId="0" fontId="42" fillId="0" borderId="5">
      <alignment horizontal="left"/>
      <protection/>
    </xf>
    <xf numFmtId="0" fontId="42" fillId="0" borderId="5">
      <alignment horizontal="left"/>
      <protection/>
    </xf>
    <xf numFmtId="0" fontId="42" fillId="0" borderId="5">
      <alignment horizontal="left"/>
      <protection/>
    </xf>
    <xf numFmtId="0" fontId="43" fillId="0" borderId="12">
      <alignment horizontal="right" vertical="center"/>
      <protection/>
    </xf>
    <xf numFmtId="0" fontId="44" fillId="0" borderId="5">
      <alignment horizontal="left" vertical="center"/>
      <protection/>
    </xf>
    <xf numFmtId="0" fontId="44" fillId="0" borderId="5">
      <alignment horizontal="left" vertical="center"/>
      <protection/>
    </xf>
    <xf numFmtId="0" fontId="39" fillId="0" borderId="5">
      <alignment horizontal="left" vertical="center"/>
      <protection/>
    </xf>
    <xf numFmtId="0" fontId="39" fillId="0" borderId="5">
      <alignment horizontal="left" vertical="center"/>
      <protection/>
    </xf>
    <xf numFmtId="0" fontId="42" fillId="0" borderId="5">
      <alignment horizontal="left"/>
      <protection/>
    </xf>
    <xf numFmtId="0" fontId="42" fillId="52" borderId="0">
      <alignment horizontal="centerContinuous" wrapText="1"/>
      <protection/>
    </xf>
    <xf numFmtId="49" fontId="42" fillId="52" borderId="13">
      <alignment horizontal="left" vertical="center"/>
      <protection/>
    </xf>
    <xf numFmtId="49" fontId="42" fillId="52" borderId="13">
      <alignment horizontal="left" vertical="center"/>
      <protection/>
    </xf>
    <xf numFmtId="0" fontId="42" fillId="52" borderId="0">
      <alignment horizontal="centerContinuous" vertical="center" wrapText="1"/>
      <protection/>
    </xf>
    <xf numFmtId="0" fontId="46" fillId="0" borderId="0" applyNumberFormat="0" applyFill="0" applyBorder="0" applyAlignment="0" applyProtection="0"/>
    <xf numFmtId="0" fontId="36" fillId="0" borderId="0" applyNumberFormat="0" applyFill="0" applyBorder="0" applyAlignment="0" applyProtection="0"/>
    <xf numFmtId="0" fontId="65" fillId="0" borderId="0" applyNumberFormat="0" applyFill="0" applyBorder="0" applyAlignment="0" applyProtection="0"/>
    <xf numFmtId="0" fontId="101" fillId="0" borderId="0" applyFill="0" applyBorder="0" applyAlignment="0" applyProtection="0"/>
    <xf numFmtId="0" fontId="102" fillId="0" borderId="0" applyFill="0" applyBorder="0" applyAlignment="0" applyProtection="0"/>
    <xf numFmtId="0" fontId="103" fillId="0" borderId="0" applyBorder="0" applyProtection="0">
      <alignment/>
    </xf>
    <xf numFmtId="0" fontId="104" fillId="0" borderId="0" applyNumberFormat="0" applyFill="0" applyBorder="0" applyAlignment="0" applyProtection="0"/>
    <xf numFmtId="0" fontId="105" fillId="53" borderId="1" applyNumberFormat="0" applyAlignment="0" applyProtection="0"/>
    <xf numFmtId="0" fontId="58" fillId="2" borderId="2" applyNumberFormat="0" applyAlignment="0" applyProtection="0"/>
    <xf numFmtId="0" fontId="106" fillId="0" borderId="14" applyNumberFormat="0" applyFill="0" applyAlignment="0" applyProtection="0"/>
    <xf numFmtId="0" fontId="59" fillId="0" borderId="15" applyNumberFormat="0" applyFill="0" applyAlignment="0" applyProtection="0"/>
    <xf numFmtId="0" fontId="107" fillId="54" borderId="0" applyNumberFormat="0" applyBorder="0" applyAlignment="0" applyProtection="0"/>
    <xf numFmtId="0" fontId="60" fillId="55" borderId="0" applyNumberFormat="0" applyBorder="0" applyAlignment="0" applyProtection="0"/>
    <xf numFmtId="0" fontId="94" fillId="0" borderId="0" applyNumberFormat="0" applyBorder="0" applyAlignment="0">
      <protection/>
    </xf>
    <xf numFmtId="0" fontId="29" fillId="0" borderId="0">
      <alignment/>
      <protection/>
    </xf>
    <xf numFmtId="0" fontId="88" fillId="0" borderId="0">
      <alignment/>
      <protection/>
    </xf>
    <xf numFmtId="181" fontId="108" fillId="0" borderId="0">
      <alignment/>
      <protection/>
    </xf>
    <xf numFmtId="0" fontId="94" fillId="0" borderId="0">
      <alignment/>
      <protection/>
    </xf>
    <xf numFmtId="0" fontId="109"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10" fillId="0" borderId="0">
      <alignment/>
      <protection/>
    </xf>
    <xf numFmtId="0" fontId="0" fillId="0" borderId="0">
      <alignment/>
      <protection/>
    </xf>
    <xf numFmtId="0" fontId="3" fillId="0" borderId="0">
      <alignment/>
      <protection/>
    </xf>
    <xf numFmtId="0" fontId="48" fillId="0" borderId="0">
      <alignment/>
      <protection/>
    </xf>
    <xf numFmtId="0" fontId="111" fillId="0" borderId="0" applyBorder="0" applyProtection="0">
      <alignment/>
    </xf>
    <xf numFmtId="0" fontId="0" fillId="0" borderId="0">
      <alignment vertical="top" wrapText="1"/>
      <protection/>
    </xf>
    <xf numFmtId="0" fontId="29"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111" fillId="0" borderId="0" applyBorder="0" applyProtection="0">
      <alignment/>
    </xf>
    <xf numFmtId="0" fontId="0" fillId="0" borderId="0">
      <alignment/>
      <protection/>
    </xf>
    <xf numFmtId="0" fontId="3"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wrapText="1"/>
      <protection/>
    </xf>
    <xf numFmtId="171" fontId="30"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30"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56" borderId="16" applyNumberFormat="0" applyFont="0" applyAlignment="0" applyProtection="0"/>
    <xf numFmtId="0" fontId="88" fillId="56" borderId="16" applyNumberFormat="0" applyFont="0" applyAlignment="0" applyProtection="0"/>
    <xf numFmtId="0" fontId="0" fillId="57" borderId="17" applyNumberFormat="0" applyFont="0" applyAlignment="0" applyProtection="0"/>
    <xf numFmtId="0" fontId="88" fillId="56" borderId="16" applyNumberFormat="0" applyFont="0" applyAlignment="0" applyProtection="0"/>
    <xf numFmtId="0" fontId="112" fillId="47" borderId="18" applyNumberFormat="0" applyAlignment="0" applyProtection="0"/>
    <xf numFmtId="0" fontId="61" fillId="48" borderId="1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10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30" fillId="0" borderId="0" applyFill="0" applyBorder="0" applyAlignment="0" applyProtection="0"/>
    <xf numFmtId="0" fontId="0" fillId="0" borderId="0">
      <alignment/>
      <protection/>
    </xf>
    <xf numFmtId="0" fontId="113" fillId="0" borderId="0" applyBorder="0" applyProtection="0">
      <alignment/>
    </xf>
    <xf numFmtId="3" fontId="40" fillId="0" borderId="0">
      <alignment horizontal="left" vertical="center"/>
      <protection/>
    </xf>
    <xf numFmtId="0" fontId="37" fillId="0" borderId="0">
      <alignment horizontal="left" vertical="center"/>
      <protection/>
    </xf>
    <xf numFmtId="0" fontId="113" fillId="0" borderId="0" applyBorder="0" applyProtection="0">
      <alignment/>
    </xf>
    <xf numFmtId="0" fontId="32" fillId="0" borderId="0">
      <alignment/>
      <protection/>
    </xf>
    <xf numFmtId="0" fontId="114" fillId="0" borderId="0" applyBorder="0" applyProtection="0">
      <alignment/>
    </xf>
    <xf numFmtId="0" fontId="27" fillId="0" borderId="0">
      <alignment horizontal="right"/>
      <protection/>
    </xf>
    <xf numFmtId="49" fontId="27" fillId="0" borderId="0">
      <alignment horizontal="center"/>
      <protection/>
    </xf>
    <xf numFmtId="0" fontId="41" fillId="0" borderId="0">
      <alignment horizontal="right"/>
      <protection/>
    </xf>
    <xf numFmtId="0" fontId="41" fillId="0" borderId="0">
      <alignment horizontal="right"/>
      <protection/>
    </xf>
    <xf numFmtId="0" fontId="27" fillId="0" borderId="0">
      <alignment horizontal="left"/>
      <protection/>
    </xf>
    <xf numFmtId="0" fontId="27"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49" fontId="40" fillId="0" borderId="0">
      <alignment horizontal="left" vertical="center"/>
      <protection/>
    </xf>
    <xf numFmtId="49" fontId="41" fillId="0" borderId="5">
      <alignment horizontal="left"/>
      <protection/>
    </xf>
    <xf numFmtId="49" fontId="41" fillId="0" borderId="5">
      <alignment horizontal="left"/>
      <protection/>
    </xf>
    <xf numFmtId="176" fontId="40" fillId="0" borderId="0" applyNumberFormat="0">
      <alignment horizontal="right"/>
      <protection/>
    </xf>
    <xf numFmtId="0" fontId="43" fillId="58" borderId="0">
      <alignment horizontal="centerContinuous" vertical="center" wrapText="1"/>
      <protection/>
    </xf>
    <xf numFmtId="0" fontId="43" fillId="0" borderId="20">
      <alignment horizontal="left" vertical="center"/>
      <protection/>
    </xf>
    <xf numFmtId="0" fontId="45" fillId="0" borderId="0">
      <alignment horizontal="left" vertical="top"/>
      <protection/>
    </xf>
    <xf numFmtId="164" fontId="33" fillId="59" borderId="21">
      <alignment vertical="center"/>
      <protection/>
    </xf>
    <xf numFmtId="168" fontId="34" fillId="59" borderId="21">
      <alignment vertical="center"/>
      <protection/>
    </xf>
    <xf numFmtId="164" fontId="35" fillId="60" borderId="21">
      <alignment vertical="center"/>
      <protection/>
    </xf>
    <xf numFmtId="0" fontId="0" fillId="61" borderId="22" applyBorder="0">
      <alignment horizontal="left" vertical="center"/>
      <protection/>
    </xf>
    <xf numFmtId="49" fontId="0" fillId="62" borderId="23">
      <alignment vertical="center" wrapText="1"/>
      <protection/>
    </xf>
    <xf numFmtId="0" fontId="0" fillId="63" borderId="24">
      <alignment horizontal="left" vertical="center" wrapText="1"/>
      <protection/>
    </xf>
    <xf numFmtId="0" fontId="13" fillId="64" borderId="23">
      <alignment horizontal="left" vertical="center" wrapText="1"/>
      <protection/>
    </xf>
    <xf numFmtId="0" fontId="0" fillId="33" borderId="23">
      <alignment horizontal="left" vertical="center" wrapText="1"/>
      <protection/>
    </xf>
    <xf numFmtId="0" fontId="0" fillId="65" borderId="23">
      <alignment horizontal="left" vertical="center" wrapText="1"/>
      <protection/>
    </xf>
    <xf numFmtId="0" fontId="115" fillId="0" borderId="0" applyNumberFormat="0" applyFill="0" applyBorder="0" applyAlignment="0" applyProtection="0"/>
    <xf numFmtId="0" fontId="62" fillId="0" borderId="0" applyNumberFormat="0" applyFill="0" applyBorder="0" applyAlignment="0" applyProtection="0"/>
    <xf numFmtId="0" fontId="116" fillId="0" borderId="0" applyNumberFormat="0" applyFill="0" applyBorder="0" applyAlignment="0" applyProtection="0"/>
    <xf numFmtId="0" fontId="42" fillId="0" borderId="0">
      <alignment horizontal="left"/>
      <protection/>
    </xf>
    <xf numFmtId="0" fontId="38" fillId="0" borderId="0">
      <alignment horizontal="left"/>
      <protection/>
    </xf>
    <xf numFmtId="0" fontId="39" fillId="0" borderId="0">
      <alignment horizontal="left"/>
      <protection/>
    </xf>
    <xf numFmtId="0" fontId="45" fillId="0" borderId="0">
      <alignment horizontal="left" vertical="top"/>
      <protection/>
    </xf>
    <xf numFmtId="0" fontId="38" fillId="0" borderId="0">
      <alignment horizontal="left"/>
      <protection/>
    </xf>
    <xf numFmtId="0" fontId="39" fillId="0" borderId="0">
      <alignment horizontal="left"/>
      <protection/>
    </xf>
    <xf numFmtId="0" fontId="19" fillId="66" borderId="0" applyNumberFormat="0" applyBorder="0">
      <alignment/>
      <protection locked="0"/>
    </xf>
    <xf numFmtId="0" fontId="117" fillId="0" borderId="25" applyNumberFormat="0" applyFill="0" applyAlignment="0" applyProtection="0"/>
    <xf numFmtId="0" fontId="63" fillId="0" borderId="26" applyNumberFormat="0" applyFill="0" applyAlignment="0" applyProtection="0"/>
    <xf numFmtId="0" fontId="20" fillId="67" borderId="0" applyNumberFormat="0" applyBorder="0">
      <alignment/>
      <protection locked="0"/>
    </xf>
    <xf numFmtId="0" fontId="118" fillId="0" borderId="0" applyNumberFormat="0" applyFill="0" applyBorder="0" applyAlignment="0" applyProtection="0"/>
    <xf numFmtId="0" fontId="64" fillId="0" borderId="0" applyNumberFormat="0" applyFill="0" applyBorder="0" applyAlignment="0" applyProtection="0"/>
    <xf numFmtId="49" fontId="40" fillId="0" borderId="5">
      <alignment horizontal="left"/>
      <protection/>
    </xf>
    <xf numFmtId="49" fontId="40" fillId="0" borderId="5">
      <alignment horizontal="left"/>
      <protection/>
    </xf>
    <xf numFmtId="0" fontId="43" fillId="0" borderId="12">
      <alignment horizontal="left"/>
      <protection/>
    </xf>
    <xf numFmtId="0" fontId="42" fillId="0" borderId="0">
      <alignment horizontal="left" vertical="center"/>
      <protection/>
    </xf>
    <xf numFmtId="49" fontId="27" fillId="0" borderId="5">
      <alignment horizontal="left"/>
      <protection/>
    </xf>
  </cellStyleXfs>
  <cellXfs count="550">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5" fillId="0" borderId="0" xfId="0" applyFont="1" applyAlignment="1" quotePrefix="1">
      <alignment horizontal="right" vertical="top"/>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0" fontId="4" fillId="0" borderId="0" xfId="0" applyFont="1" applyFill="1" applyBorder="1" applyAlignment="1">
      <alignment horizontal="center" vertical="center" wrapText="1"/>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29"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27" xfId="0" applyFont="1" applyFill="1" applyBorder="1" applyAlignment="1">
      <alignment horizontal="center" vertical="center"/>
    </xf>
    <xf numFmtId="0" fontId="4" fillId="68" borderId="23" xfId="0" applyFont="1" applyFill="1" applyBorder="1" applyAlignment="1">
      <alignment horizontal="center" vertical="center"/>
    </xf>
    <xf numFmtId="0" fontId="4" fillId="68" borderId="23" xfId="0" applyFont="1" applyFill="1" applyBorder="1" applyAlignment="1">
      <alignment horizontal="center" vertical="center" wrapText="1"/>
    </xf>
    <xf numFmtId="1" fontId="4" fillId="8" borderId="22" xfId="0" applyNumberFormat="1" applyFont="1" applyFill="1" applyBorder="1" applyAlignment="1">
      <alignment horizontal="center" vertical="center"/>
    </xf>
    <xf numFmtId="1" fontId="4" fillId="8" borderId="27"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5" fontId="4" fillId="0" borderId="29"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2"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27" xfId="0" applyFont="1" applyFill="1" applyBorder="1" applyAlignment="1">
      <alignment horizontal="center" vertical="center"/>
    </xf>
    <xf numFmtId="0" fontId="23" fillId="8" borderId="3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23" fillId="8" borderId="3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xf>
    <xf numFmtId="0" fontId="4" fillId="8" borderId="27" xfId="0" applyFont="1" applyFill="1" applyBorder="1" applyAlignment="1">
      <alignment horizontal="center" vertical="center"/>
    </xf>
    <xf numFmtId="0" fontId="3" fillId="69" borderId="23" xfId="0" applyFont="1" applyFill="1" applyBorder="1" applyAlignment="1">
      <alignment horizontal="left" vertical="top" wrapText="1"/>
    </xf>
    <xf numFmtId="0" fontId="4" fillId="69" borderId="23"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0" xfId="0" applyFont="1" applyFill="1" applyBorder="1" applyAlignment="1">
      <alignment horizontal="center" vertical="center" wrapText="1"/>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69" borderId="24" xfId="0" applyFont="1" applyFill="1" applyBorder="1" applyAlignment="1">
      <alignment horizontal="center" vertical="center"/>
    </xf>
    <xf numFmtId="0" fontId="4" fillId="69" borderId="31" xfId="0" applyFont="1" applyFill="1" applyBorder="1" applyAlignment="1">
      <alignment horizontal="center" vertical="center"/>
    </xf>
    <xf numFmtId="0" fontId="4" fillId="8" borderId="22" xfId="0" applyFont="1" applyFill="1" applyBorder="1" applyAlignment="1">
      <alignment horizontal="center" vertical="center"/>
    </xf>
    <xf numFmtId="165" fontId="3" fillId="0" borderId="24"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0" borderId="31" xfId="0" applyNumberFormat="1" applyFont="1" applyBorder="1" applyAlignment="1">
      <alignment vertical="center"/>
    </xf>
    <xf numFmtId="165" fontId="3" fillId="0" borderId="24"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24" xfId="0" applyNumberFormat="1" applyFont="1" applyBorder="1" applyAlignment="1">
      <alignment vertical="center"/>
    </xf>
    <xf numFmtId="165" fontId="3" fillId="0" borderId="31" xfId="0" applyNumberFormat="1" applyFont="1" applyBorder="1" applyAlignment="1">
      <alignment vertical="center"/>
    </xf>
    <xf numFmtId="0" fontId="23" fillId="8" borderId="32" xfId="0" applyFont="1" applyFill="1" applyBorder="1" applyAlignment="1">
      <alignment horizontal="center" vertical="center" wrapText="1"/>
    </xf>
    <xf numFmtId="165" fontId="3" fillId="0" borderId="32" xfId="0" applyNumberFormat="1" applyFont="1" applyFill="1" applyBorder="1" applyAlignment="1">
      <alignment horizontal="center" vertical="center"/>
    </xf>
    <xf numFmtId="165" fontId="3" fillId="0" borderId="33" xfId="0" applyNumberFormat="1" applyFont="1" applyFill="1" applyBorder="1" applyAlignment="1">
      <alignment horizontal="center" vertical="center"/>
    </xf>
    <xf numFmtId="165" fontId="4" fillId="0" borderId="34" xfId="0" applyNumberFormat="1" applyFont="1" applyFill="1" applyBorder="1" applyAlignment="1">
      <alignment horizontal="center" vertical="center"/>
    </xf>
    <xf numFmtId="0" fontId="23" fillId="8" borderId="35" xfId="0" applyFont="1" applyFill="1" applyBorder="1" applyAlignment="1">
      <alignment horizontal="center" vertical="center" wrapText="1"/>
    </xf>
    <xf numFmtId="165" fontId="3" fillId="0" borderId="35" xfId="0" applyNumberFormat="1" applyFont="1" applyFill="1" applyBorder="1" applyAlignment="1">
      <alignment horizontal="center" vertical="center"/>
    </xf>
    <xf numFmtId="165" fontId="3" fillId="0" borderId="36"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165" fontId="4" fillId="0" borderId="37" xfId="0" applyNumberFormat="1" applyFont="1" applyFill="1" applyBorder="1" applyAlignment="1">
      <alignment horizontal="center" vertical="center"/>
    </xf>
    <xf numFmtId="0" fontId="4" fillId="0" borderId="0" xfId="0" applyFont="1" applyAlignment="1">
      <alignment/>
    </xf>
    <xf numFmtId="0" fontId="4" fillId="0" borderId="0" xfId="0" applyNumberFormat="1" applyFont="1" applyAlignment="1" applyProtection="1">
      <alignment horizontal="left"/>
      <protection locked="0"/>
    </xf>
    <xf numFmtId="0" fontId="4" fillId="0" borderId="0" xfId="0" applyFont="1" applyAlignment="1">
      <alignment horizontal="left"/>
    </xf>
    <xf numFmtId="2" fontId="3" fillId="0" borderId="0" xfId="0" applyNumberFormat="1" applyFont="1" applyFill="1" applyBorder="1" applyAlignment="1" quotePrefix="1">
      <alignment horizontal="right" vertical="center"/>
    </xf>
    <xf numFmtId="2" fontId="3" fillId="0" borderId="38" xfId="0" applyNumberFormat="1" applyFont="1" applyFill="1" applyBorder="1" applyAlignment="1">
      <alignment horizontal="right" vertical="center"/>
    </xf>
    <xf numFmtId="2" fontId="3" fillId="0" borderId="30" xfId="0" applyNumberFormat="1" applyFont="1" applyFill="1" applyBorder="1" applyAlignment="1">
      <alignment horizontal="right" vertical="center"/>
    </xf>
    <xf numFmtId="0" fontId="23" fillId="68" borderId="23" xfId="0" applyFont="1" applyFill="1" applyBorder="1" applyAlignment="1">
      <alignment horizontal="center" vertical="center" wrapText="1"/>
    </xf>
    <xf numFmtId="168" fontId="3" fillId="0" borderId="27" xfId="0" applyNumberFormat="1" applyFont="1" applyBorder="1" applyAlignment="1">
      <alignment horizontal="right" vertical="center"/>
    </xf>
    <xf numFmtId="0" fontId="4" fillId="68" borderId="24" xfId="0" applyFont="1" applyFill="1" applyBorder="1" applyAlignment="1">
      <alignment horizontal="center" vertical="center" wrapText="1"/>
    </xf>
    <xf numFmtId="2" fontId="4" fillId="0" borderId="22" xfId="0" applyNumberFormat="1" applyFont="1" applyFill="1" applyBorder="1" applyAlignment="1">
      <alignment horizontal="right" vertical="center"/>
    </xf>
    <xf numFmtId="2" fontId="4" fillId="0" borderId="27" xfId="0" applyNumberFormat="1" applyFont="1" applyFill="1" applyBorder="1" applyAlignment="1">
      <alignment horizontal="right" vertical="center"/>
    </xf>
    <xf numFmtId="2" fontId="18" fillId="0" borderId="27" xfId="0" applyNumberFormat="1" applyFont="1" applyFill="1" applyBorder="1" applyAlignment="1">
      <alignment horizontal="right" vertical="center"/>
    </xf>
    <xf numFmtId="2" fontId="3" fillId="0" borderId="30"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39"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9" xfId="0" applyNumberFormat="1" applyFont="1" applyBorder="1" applyAlignment="1">
      <alignment horizontal="center" vertical="center"/>
    </xf>
    <xf numFmtId="165" fontId="3" fillId="0" borderId="27" xfId="0" applyNumberFormat="1" applyFont="1" applyBorder="1" applyAlignment="1">
      <alignment horizontal="center" vertical="center"/>
    </xf>
    <xf numFmtId="2" fontId="3" fillId="0" borderId="38" xfId="0" applyNumberFormat="1" applyFont="1" applyFill="1" applyBorder="1" applyAlignment="1" quotePrefix="1">
      <alignment horizontal="right" vertical="center"/>
    </xf>
    <xf numFmtId="2" fontId="3" fillId="0" borderId="40" xfId="0" applyNumberFormat="1" applyFont="1" applyFill="1" applyBorder="1" applyAlignment="1" quotePrefix="1">
      <alignment horizontal="right" vertical="center"/>
    </xf>
    <xf numFmtId="0" fontId="0" fillId="0" borderId="22" xfId="0" applyBorder="1" applyAlignment="1">
      <alignment vertical="center"/>
    </xf>
    <xf numFmtId="2" fontId="0" fillId="0" borderId="0" xfId="0" applyNumberFormat="1" applyAlignment="1">
      <alignment/>
    </xf>
    <xf numFmtId="165" fontId="0" fillId="0" borderId="0" xfId="0" applyNumberFormat="1" applyAlignment="1">
      <alignment/>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13" xfId="0" applyNumberFormat="1" applyFont="1" applyFill="1" applyBorder="1" applyAlignment="1">
      <alignment horizontal="right" vertical="center"/>
    </xf>
    <xf numFmtId="0" fontId="4" fillId="68" borderId="31" xfId="0" applyFont="1" applyFill="1" applyBorder="1" applyAlignment="1">
      <alignment horizontal="center" vertical="center" wrapText="1"/>
    </xf>
    <xf numFmtId="0" fontId="4" fillId="68" borderId="41" xfId="0" applyFont="1" applyFill="1" applyBorder="1" applyAlignment="1">
      <alignment horizontal="center" vertical="center" wrapText="1"/>
    </xf>
    <xf numFmtId="165" fontId="17" fillId="0" borderId="0" xfId="0" applyNumberFormat="1" applyFont="1" applyBorder="1" applyAlignment="1">
      <alignment/>
    </xf>
    <xf numFmtId="165" fontId="17" fillId="70" borderId="0" xfId="0" applyNumberFormat="1" applyFont="1" applyFill="1" applyBorder="1" applyAlignment="1">
      <alignment horizontal="right" vertical="center"/>
    </xf>
    <xf numFmtId="166" fontId="17" fillId="0" borderId="38" xfId="0" applyNumberFormat="1" applyFont="1" applyBorder="1" applyAlignment="1">
      <alignment horizontal="center" vertical="center"/>
    </xf>
    <xf numFmtId="166" fontId="3" fillId="0" borderId="38" xfId="0" applyNumberFormat="1" applyFont="1" applyBorder="1" applyAlignment="1">
      <alignment horizontal="center" vertical="center"/>
    </xf>
    <xf numFmtId="166" fontId="17"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18" fillId="0" borderId="22" xfId="0" applyNumberFormat="1" applyFont="1" applyBorder="1" applyAlignment="1">
      <alignment horizontal="center" vertical="center"/>
    </xf>
    <xf numFmtId="166" fontId="18" fillId="0" borderId="27" xfId="0" applyNumberFormat="1" applyFont="1" applyBorder="1" applyAlignment="1">
      <alignment horizontal="center" vertical="center"/>
    </xf>
    <xf numFmtId="170" fontId="25" fillId="0" borderId="38"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0" fontId="4" fillId="8" borderId="27" xfId="0" applyFont="1" applyFill="1" applyBorder="1" applyAlignment="1">
      <alignment horizontal="center" vertical="center" wrapText="1"/>
    </xf>
    <xf numFmtId="165" fontId="17" fillId="0" borderId="38" xfId="0" applyNumberFormat="1" applyFont="1" applyBorder="1" applyAlignment="1">
      <alignment/>
    </xf>
    <xf numFmtId="165" fontId="17" fillId="0" borderId="39" xfId="0" applyNumberFormat="1" applyFont="1" applyBorder="1" applyAlignment="1">
      <alignment/>
    </xf>
    <xf numFmtId="165" fontId="17" fillId="0" borderId="29"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3" xfId="0" applyFont="1" applyFill="1" applyBorder="1" applyAlignment="1">
      <alignment horizontal="center"/>
    </xf>
    <xf numFmtId="165" fontId="18" fillId="8" borderId="31" xfId="0" applyNumberFormat="1" applyFont="1" applyFill="1" applyBorder="1" applyAlignment="1">
      <alignment horizontal="center"/>
    </xf>
    <xf numFmtId="0" fontId="4" fillId="8" borderId="23" xfId="0" applyFont="1" applyFill="1" applyBorder="1" applyAlignment="1">
      <alignment horizontal="center" vertical="center"/>
    </xf>
    <xf numFmtId="170" fontId="26" fillId="0" borderId="22" xfId="0" applyNumberFormat="1" applyFont="1" applyFill="1" applyBorder="1" applyAlignment="1">
      <alignment horizontal="right" vertical="center"/>
    </xf>
    <xf numFmtId="170" fontId="26" fillId="0" borderId="27" xfId="0" applyNumberFormat="1" applyFont="1" applyFill="1" applyBorder="1" applyAlignment="1">
      <alignment horizontal="right" vertical="center"/>
    </xf>
    <xf numFmtId="170" fontId="26" fillId="0" borderId="23" xfId="0" applyNumberFormat="1" applyFont="1" applyFill="1" applyBorder="1" applyAlignment="1">
      <alignment horizontal="right" vertical="center"/>
    </xf>
    <xf numFmtId="169" fontId="3" fillId="0" borderId="40" xfId="0" applyNumberFormat="1" applyFont="1" applyFill="1" applyBorder="1" applyAlignment="1">
      <alignment horizontal="center" vertical="center"/>
    </xf>
    <xf numFmtId="169" fontId="3" fillId="0" borderId="38" xfId="0" applyNumberFormat="1" applyFont="1" applyFill="1" applyBorder="1" applyAlignment="1">
      <alignment horizontal="center" vertical="center"/>
    </xf>
    <xf numFmtId="169" fontId="3" fillId="0" borderId="39"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41" xfId="0" applyNumberFormat="1" applyFont="1" applyBorder="1" applyAlignment="1">
      <alignment vertical="center"/>
    </xf>
    <xf numFmtId="165" fontId="4" fillId="0" borderId="27"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42" xfId="0" applyNumberFormat="1" applyFont="1" applyFill="1" applyBorder="1" applyAlignment="1">
      <alignment horizontal="right" vertical="center"/>
    </xf>
    <xf numFmtId="165" fontId="3" fillId="0" borderId="42"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29" xfId="0" applyNumberFormat="1" applyFont="1" applyBorder="1" applyAlignment="1">
      <alignment horizontal="center" vertical="center"/>
    </xf>
    <xf numFmtId="165" fontId="17" fillId="0" borderId="27" xfId="0" applyNumberFormat="1" applyFont="1" applyBorder="1" applyAlignment="1">
      <alignment horizontal="center" vertical="center"/>
    </xf>
    <xf numFmtId="0" fontId="4" fillId="8" borderId="2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69" borderId="41" xfId="0" applyFont="1" applyFill="1" applyBorder="1" applyAlignment="1">
      <alignment horizontal="center" vertical="center"/>
    </xf>
    <xf numFmtId="166" fontId="3" fillId="0" borderId="0" xfId="0" applyNumberFormat="1" applyFont="1" applyBorder="1" applyAlignment="1">
      <alignment horizontal="center" vertical="center"/>
    </xf>
    <xf numFmtId="165" fontId="17" fillId="0" borderId="38" xfId="0" applyNumberFormat="1" applyFont="1" applyFill="1" applyBorder="1" applyAlignment="1">
      <alignment horizontal="right" vertical="center"/>
    </xf>
    <xf numFmtId="0" fontId="4" fillId="71" borderId="27" xfId="0" applyFont="1" applyFill="1" applyBorder="1" applyAlignment="1">
      <alignment horizontal="center" vertical="center"/>
    </xf>
    <xf numFmtId="165" fontId="17" fillId="71" borderId="0" xfId="0" applyNumberFormat="1" applyFont="1" applyFill="1" applyBorder="1" applyAlignment="1">
      <alignment horizontal="right" vertical="center"/>
    </xf>
    <xf numFmtId="0" fontId="4" fillId="71" borderId="28" xfId="0" applyFont="1" applyFill="1" applyBorder="1" applyAlignment="1">
      <alignment horizontal="center" vertical="center"/>
    </xf>
    <xf numFmtId="165" fontId="17" fillId="71" borderId="13"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0"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165" fontId="17" fillId="71" borderId="0" xfId="0" applyNumberFormat="1" applyFont="1" applyFill="1" applyBorder="1" applyAlignment="1">
      <alignment horizontal="center" vertical="center"/>
    </xf>
    <xf numFmtId="0" fontId="4" fillId="69" borderId="31" xfId="0" applyFont="1" applyFill="1" applyBorder="1" applyAlignment="1">
      <alignment horizontal="center" vertical="center"/>
    </xf>
    <xf numFmtId="0" fontId="4" fillId="68" borderId="24" xfId="0" applyFont="1" applyFill="1" applyBorder="1" applyAlignment="1">
      <alignment horizontal="center" vertical="center"/>
    </xf>
    <xf numFmtId="0" fontId="4" fillId="68" borderId="23" xfId="0" applyFont="1" applyFill="1" applyBorder="1" applyAlignment="1">
      <alignment horizontal="center" vertical="center"/>
    </xf>
    <xf numFmtId="0" fontId="0" fillId="0" borderId="0" xfId="169">
      <alignment/>
      <protection/>
    </xf>
    <xf numFmtId="0" fontId="3" fillId="0" borderId="0" xfId="169" applyFont="1">
      <alignment/>
      <protection/>
    </xf>
    <xf numFmtId="9" fontId="3" fillId="0" borderId="0" xfId="169" applyNumberFormat="1" applyFont="1" applyAlignment="1">
      <alignment horizontal="center"/>
      <protection/>
    </xf>
    <xf numFmtId="0" fontId="4" fillId="0" borderId="0" xfId="169" applyFont="1" applyBorder="1" applyAlignment="1">
      <alignment vertical="top"/>
      <protection/>
    </xf>
    <xf numFmtId="0" fontId="4" fillId="0" borderId="0" xfId="169" applyFont="1" applyAlignment="1">
      <alignment vertical="top"/>
      <protection/>
    </xf>
    <xf numFmtId="0" fontId="3" fillId="0" borderId="0" xfId="169" applyFont="1" applyAlignment="1">
      <alignment vertical="top"/>
      <protection/>
    </xf>
    <xf numFmtId="165" fontId="13" fillId="0" borderId="0" xfId="169" applyNumberFormat="1" applyFont="1" applyBorder="1" applyAlignment="1">
      <alignment horizontal="left" vertical="center"/>
      <protection/>
    </xf>
    <xf numFmtId="0" fontId="13" fillId="0" borderId="0" xfId="169" applyFont="1" applyBorder="1" applyAlignment="1">
      <alignment horizontal="left" vertical="center"/>
      <protection/>
    </xf>
    <xf numFmtId="0" fontId="3" fillId="0" borderId="0" xfId="169" applyFont="1" applyBorder="1" applyAlignment="1">
      <alignment horizontal="left" vertical="center"/>
      <protection/>
    </xf>
    <xf numFmtId="0" fontId="3" fillId="0" borderId="0" xfId="169" applyFont="1" applyAlignment="1">
      <alignment vertical="center"/>
      <protection/>
    </xf>
    <xf numFmtId="0" fontId="3" fillId="0" borderId="0" xfId="169" applyFont="1" applyBorder="1" applyAlignment="1">
      <alignment vertical="center"/>
      <protection/>
    </xf>
    <xf numFmtId="0" fontId="3" fillId="0" borderId="0" xfId="169" applyFont="1" applyBorder="1" applyAlignment="1" quotePrefix="1">
      <alignment horizontal="left" vertical="center"/>
      <protection/>
    </xf>
    <xf numFmtId="0" fontId="4" fillId="0" borderId="0" xfId="169" applyFont="1" applyAlignment="1">
      <alignment horizontal="left"/>
      <protection/>
    </xf>
    <xf numFmtId="0" fontId="4" fillId="0" borderId="0" xfId="169" applyFont="1" applyBorder="1" applyAlignment="1">
      <alignment horizontal="left" wrapText="1"/>
      <protection/>
    </xf>
    <xf numFmtId="0" fontId="4" fillId="0" borderId="38" xfId="169" applyFont="1" applyBorder="1" applyAlignment="1">
      <alignment horizontal="left" wrapText="1"/>
      <protection/>
    </xf>
    <xf numFmtId="0" fontId="4" fillId="0" borderId="0" xfId="169" applyFont="1" applyBorder="1">
      <alignment/>
      <protection/>
    </xf>
    <xf numFmtId="0" fontId="3" fillId="0" borderId="0" xfId="169" applyFont="1" applyAlignment="1">
      <alignment horizontal="center"/>
      <protection/>
    </xf>
    <xf numFmtId="165" fontId="3" fillId="0" borderId="0" xfId="169" applyNumberFormat="1" applyFont="1">
      <alignment/>
      <protection/>
    </xf>
    <xf numFmtId="0" fontId="4" fillId="71" borderId="28" xfId="169" applyFont="1" applyFill="1" applyBorder="1" applyAlignment="1">
      <alignment horizontal="center" vertical="center"/>
      <protection/>
    </xf>
    <xf numFmtId="165" fontId="3" fillId="71" borderId="2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3" fillId="71" borderId="43" xfId="169" applyNumberFormat="1" applyFont="1" applyFill="1" applyBorder="1" applyAlignment="1">
      <alignment horizontal="right" vertical="center"/>
      <protection/>
    </xf>
    <xf numFmtId="2" fontId="3" fillId="71" borderId="28" xfId="169" applyNumberFormat="1" applyFont="1" applyFill="1" applyBorder="1" applyAlignment="1">
      <alignment horizontal="right" vertical="center"/>
      <protection/>
    </xf>
    <xf numFmtId="0" fontId="4" fillId="0" borderId="27" xfId="169" applyFont="1" applyFill="1" applyBorder="1" applyAlignment="1">
      <alignment horizontal="center" vertical="center"/>
      <protection/>
    </xf>
    <xf numFmtId="165" fontId="3" fillId="0" borderId="27" xfId="169" applyNumberFormat="1" applyFont="1" applyFill="1" applyBorder="1" applyAlignment="1">
      <alignment horizontal="right" vertical="center"/>
      <protection/>
    </xf>
    <xf numFmtId="165" fontId="3" fillId="0" borderId="0" xfId="169" applyNumberFormat="1" applyFont="1" applyFill="1" applyBorder="1" applyAlignment="1">
      <alignment horizontal="right" vertical="center"/>
      <protection/>
    </xf>
    <xf numFmtId="2" fontId="3" fillId="0" borderId="27" xfId="169" applyNumberFormat="1" applyFont="1" applyFill="1" applyBorder="1" applyAlignment="1">
      <alignment horizontal="right" vertical="center"/>
      <protection/>
    </xf>
    <xf numFmtId="0" fontId="4" fillId="71" borderId="27" xfId="169" applyFont="1" applyFill="1" applyBorder="1" applyAlignment="1">
      <alignment horizontal="center" vertical="center"/>
      <protection/>
    </xf>
    <xf numFmtId="165" fontId="3" fillId="71" borderId="38" xfId="169" applyNumberFormat="1" applyFont="1" applyFill="1" applyBorder="1" applyAlignment="1">
      <alignment horizontal="right" vertical="center"/>
      <protection/>
    </xf>
    <xf numFmtId="165" fontId="3" fillId="71" borderId="0" xfId="169" applyNumberFormat="1" applyFont="1" applyFill="1" applyBorder="1" applyAlignment="1">
      <alignment horizontal="right" vertical="center"/>
      <protection/>
    </xf>
    <xf numFmtId="2" fontId="3" fillId="71" borderId="22" xfId="169" applyNumberFormat="1" applyFont="1" applyFill="1" applyBorder="1" applyAlignment="1">
      <alignment horizontal="right" vertical="center"/>
      <protection/>
    </xf>
    <xf numFmtId="0" fontId="4" fillId="0" borderId="28" xfId="169" applyFont="1" applyFill="1" applyBorder="1" applyAlignment="1">
      <alignment horizontal="center" vertical="center"/>
      <protection/>
    </xf>
    <xf numFmtId="165" fontId="3" fillId="0" borderId="28" xfId="169" applyNumberFormat="1" applyFont="1" applyFill="1" applyBorder="1" applyAlignment="1">
      <alignment horizontal="right" vertical="center"/>
      <protection/>
    </xf>
    <xf numFmtId="165" fontId="3" fillId="0" borderId="13" xfId="169" applyNumberFormat="1" applyFont="1" applyFill="1" applyBorder="1" applyAlignment="1">
      <alignment horizontal="right" vertical="center"/>
      <protection/>
    </xf>
    <xf numFmtId="165" fontId="3" fillId="0" borderId="43" xfId="169" applyNumberFormat="1" applyFont="1" applyFill="1" applyBorder="1" applyAlignment="1">
      <alignment horizontal="right" vertical="center"/>
      <protection/>
    </xf>
    <xf numFmtId="165" fontId="17" fillId="0" borderId="13" xfId="169" applyNumberFormat="1" applyFont="1" applyFill="1" applyBorder="1" applyAlignment="1">
      <alignment horizontal="right" vertical="center"/>
      <protection/>
    </xf>
    <xf numFmtId="2" fontId="3" fillId="0" borderId="28" xfId="169" applyNumberFormat="1" applyFont="1" applyFill="1" applyBorder="1" applyAlignment="1">
      <alignment horizontal="right" vertical="center"/>
      <protection/>
    </xf>
    <xf numFmtId="0" fontId="3" fillId="0" borderId="0" xfId="169" applyFont="1" applyFill="1">
      <alignment/>
      <protection/>
    </xf>
    <xf numFmtId="165" fontId="17" fillId="71" borderId="27"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protection/>
    </xf>
    <xf numFmtId="165" fontId="17" fillId="71" borderId="0" xfId="169" applyNumberFormat="1" applyFont="1" applyFill="1" applyBorder="1">
      <alignment/>
      <protection/>
    </xf>
    <xf numFmtId="2" fontId="3" fillId="71" borderId="27" xfId="169" applyNumberFormat="1" applyFont="1" applyFill="1" applyBorder="1" applyAlignment="1">
      <alignment horizontal="right" vertical="center"/>
      <protection/>
    </xf>
    <xf numFmtId="0" fontId="3" fillId="0" borderId="0" xfId="169" applyFont="1" applyFill="1" applyAlignment="1">
      <alignment horizontal="center"/>
      <protection/>
    </xf>
    <xf numFmtId="165" fontId="17" fillId="0" borderId="27" xfId="169" applyNumberFormat="1" applyFont="1" applyFill="1" applyBorder="1" applyAlignment="1">
      <alignment horizontal="right" vertical="center"/>
      <protection/>
    </xf>
    <xf numFmtId="165" fontId="17" fillId="0" borderId="0" xfId="169" applyNumberFormat="1" applyFont="1" applyFill="1" applyBorder="1" applyAlignment="1">
      <alignment horizontal="right" vertical="center"/>
      <protection/>
    </xf>
    <xf numFmtId="165" fontId="17" fillId="0" borderId="0" xfId="169" applyNumberFormat="1" applyFont="1" applyFill="1" applyBorder="1">
      <alignment/>
      <protection/>
    </xf>
    <xf numFmtId="0" fontId="4" fillId="0" borderId="22" xfId="169" applyFont="1" applyFill="1" applyBorder="1" applyAlignment="1">
      <alignment horizontal="center" vertical="center"/>
      <protection/>
    </xf>
    <xf numFmtId="165" fontId="3" fillId="0" borderId="22" xfId="169" applyNumberFormat="1" applyFont="1" applyFill="1" applyBorder="1" applyAlignment="1">
      <alignment horizontal="right" vertical="center"/>
      <protection/>
    </xf>
    <xf numFmtId="165" fontId="3" fillId="0" borderId="38" xfId="169" applyNumberFormat="1" applyFont="1" applyFill="1" applyBorder="1" applyAlignment="1">
      <alignment horizontal="right" vertical="center"/>
      <protection/>
    </xf>
    <xf numFmtId="2" fontId="3" fillId="0" borderId="22" xfId="169" applyNumberFormat="1" applyFont="1" applyFill="1" applyBorder="1" applyAlignment="1">
      <alignment horizontal="right" vertical="center"/>
      <protection/>
    </xf>
    <xf numFmtId="165" fontId="3" fillId="71" borderId="27" xfId="169" applyNumberFormat="1" applyFont="1" applyFill="1" applyBorder="1" applyAlignment="1">
      <alignment horizontal="right" vertical="center"/>
      <protection/>
    </xf>
    <xf numFmtId="165" fontId="3" fillId="71" borderId="44" xfId="169" applyNumberFormat="1" applyFont="1" applyFill="1" applyBorder="1" applyAlignment="1">
      <alignment horizontal="right" vertical="center"/>
      <protection/>
    </xf>
    <xf numFmtId="165" fontId="3" fillId="0" borderId="45" xfId="169" applyNumberFormat="1" applyFont="1" applyFill="1" applyBorder="1" applyAlignment="1">
      <alignment horizontal="right" vertical="center"/>
      <protection/>
    </xf>
    <xf numFmtId="2" fontId="3" fillId="0" borderId="46" xfId="169" applyNumberFormat="1" applyFont="1" applyFill="1" applyBorder="1" applyAlignment="1">
      <alignment horizontal="right" vertical="center"/>
      <protection/>
    </xf>
    <xf numFmtId="165" fontId="3" fillId="0" borderId="0" xfId="169" applyNumberFormat="1" applyFont="1" applyFill="1" applyBorder="1" applyAlignment="1" quotePrefix="1">
      <alignment horizontal="right" vertical="center"/>
      <protection/>
    </xf>
    <xf numFmtId="2" fontId="3" fillId="0" borderId="27" xfId="169" applyNumberFormat="1" applyFont="1" applyFill="1" applyBorder="1" applyAlignment="1" quotePrefix="1">
      <alignment horizontal="right" vertical="center"/>
      <protection/>
    </xf>
    <xf numFmtId="165" fontId="3" fillId="71" borderId="0" xfId="169" applyNumberFormat="1" applyFont="1" applyFill="1" applyBorder="1">
      <alignment/>
      <protection/>
    </xf>
    <xf numFmtId="2" fontId="17" fillId="0" borderId="27" xfId="169" applyNumberFormat="1" applyFont="1" applyFill="1" applyBorder="1" applyAlignment="1">
      <alignment horizontal="right" vertical="center"/>
      <protection/>
    </xf>
    <xf numFmtId="2" fontId="17" fillId="71" borderId="27" xfId="169" applyNumberFormat="1" applyFont="1" applyFill="1" applyBorder="1" applyAlignment="1">
      <alignment horizontal="right" vertical="center"/>
      <protection/>
    </xf>
    <xf numFmtId="0" fontId="4" fillId="0" borderId="0" xfId="169" applyFont="1">
      <alignment/>
      <protection/>
    </xf>
    <xf numFmtId="165" fontId="3" fillId="0" borderId="46" xfId="169" applyNumberFormat="1" applyFont="1" applyFill="1" applyBorder="1" applyAlignment="1">
      <alignment horizontal="right" vertical="center"/>
      <protection/>
    </xf>
    <xf numFmtId="165" fontId="3" fillId="71" borderId="45" xfId="169" applyNumberFormat="1" applyFont="1" applyFill="1" applyBorder="1" applyAlignment="1">
      <alignment horizontal="right" vertical="center"/>
      <protection/>
    </xf>
    <xf numFmtId="165" fontId="3" fillId="71" borderId="46" xfId="169" applyNumberFormat="1" applyFont="1" applyFill="1" applyBorder="1" applyAlignment="1">
      <alignment horizontal="right" vertical="center"/>
      <protection/>
    </xf>
    <xf numFmtId="165" fontId="3" fillId="71" borderId="30" xfId="169" applyNumberFormat="1" applyFont="1" applyFill="1" applyBorder="1" applyAlignment="1">
      <alignment horizontal="right" vertical="center"/>
      <protection/>
    </xf>
    <xf numFmtId="165" fontId="3" fillId="0" borderId="27" xfId="169" applyNumberFormat="1" applyFont="1" applyBorder="1" applyAlignment="1">
      <alignment horizontal="right" vertical="center"/>
      <protection/>
    </xf>
    <xf numFmtId="165" fontId="3" fillId="0" borderId="0" xfId="169" applyNumberFormat="1" applyFont="1" applyBorder="1" applyAlignment="1">
      <alignment horizontal="right" vertical="center"/>
      <protection/>
    </xf>
    <xf numFmtId="165" fontId="17" fillId="0" borderId="0" xfId="169" applyNumberFormat="1" applyFont="1" applyBorder="1" applyAlignment="1">
      <alignment horizontal="right" vertical="center"/>
      <protection/>
    </xf>
    <xf numFmtId="165" fontId="3" fillId="0" borderId="30" xfId="169" applyNumberFormat="1" applyFont="1" applyBorder="1" applyAlignment="1">
      <alignment horizontal="right" vertical="center"/>
      <protection/>
    </xf>
    <xf numFmtId="2" fontId="3" fillId="0" borderId="27" xfId="169" applyNumberFormat="1" applyFont="1" applyBorder="1" applyAlignment="1">
      <alignment horizontal="right" vertical="center"/>
      <protection/>
    </xf>
    <xf numFmtId="165" fontId="17" fillId="0" borderId="0" xfId="169" applyNumberFormat="1" applyFont="1" applyFill="1">
      <alignment/>
      <protection/>
    </xf>
    <xf numFmtId="165" fontId="17" fillId="0" borderId="0" xfId="169" applyNumberFormat="1" applyFont="1" applyBorder="1">
      <alignment/>
      <protection/>
    </xf>
    <xf numFmtId="2" fontId="17" fillId="0" borderId="27" xfId="169" applyNumberFormat="1" applyFont="1" applyBorder="1">
      <alignment/>
      <protection/>
    </xf>
    <xf numFmtId="165" fontId="3" fillId="8" borderId="27" xfId="169" applyNumberFormat="1" applyFont="1" applyFill="1" applyBorder="1">
      <alignment/>
      <protection/>
    </xf>
    <xf numFmtId="165" fontId="3" fillId="70" borderId="27" xfId="169" applyNumberFormat="1" applyFont="1" applyFill="1" applyBorder="1" applyAlignment="1">
      <alignment horizontal="right" vertical="center"/>
      <protection/>
    </xf>
    <xf numFmtId="165" fontId="3" fillId="70" borderId="0" xfId="169" applyNumberFormat="1" applyFont="1" applyFill="1" applyBorder="1" applyAlignment="1">
      <alignment horizontal="right" vertical="center"/>
      <protection/>
    </xf>
    <xf numFmtId="165" fontId="3" fillId="70" borderId="45" xfId="169" applyNumberFormat="1" applyFont="1" applyFill="1" applyBorder="1" applyAlignment="1">
      <alignment horizontal="right" vertical="center"/>
      <protection/>
    </xf>
    <xf numFmtId="165" fontId="17" fillId="0" borderId="27" xfId="169" applyNumberFormat="1" applyFont="1" applyBorder="1" applyAlignment="1">
      <alignment horizontal="right" vertical="center"/>
      <protection/>
    </xf>
    <xf numFmtId="0" fontId="0" fillId="0" borderId="0" xfId="169" applyFill="1" applyBorder="1">
      <alignment/>
      <protection/>
    </xf>
    <xf numFmtId="0" fontId="4" fillId="68" borderId="28" xfId="169" applyFont="1" applyFill="1" applyBorder="1" applyAlignment="1">
      <alignment horizontal="center" vertical="top"/>
      <protection/>
    </xf>
    <xf numFmtId="1" fontId="4" fillId="68" borderId="0" xfId="169" applyNumberFormat="1" applyFont="1" applyFill="1" applyBorder="1" applyAlignment="1">
      <alignment horizontal="center" vertical="center"/>
      <protection/>
    </xf>
    <xf numFmtId="1" fontId="4" fillId="68" borderId="13" xfId="169" applyNumberFormat="1" applyFont="1" applyFill="1" applyBorder="1" applyAlignment="1">
      <alignment horizontal="center" vertical="center"/>
      <protection/>
    </xf>
    <xf numFmtId="1" fontId="4" fillId="68" borderId="28" xfId="169" applyNumberFormat="1" applyFont="1" applyFill="1" applyBorder="1" applyAlignment="1">
      <alignment horizontal="center" vertical="center"/>
      <protection/>
    </xf>
    <xf numFmtId="0" fontId="0" fillId="0" borderId="47" xfId="169" applyFill="1" applyBorder="1">
      <alignment/>
      <protection/>
    </xf>
    <xf numFmtId="0" fontId="23" fillId="68" borderId="22" xfId="169" applyFont="1" applyFill="1" applyBorder="1" applyAlignment="1">
      <alignment horizontal="center" wrapText="1"/>
      <protection/>
    </xf>
    <xf numFmtId="1" fontId="4" fillId="68" borderId="38" xfId="169" applyNumberFormat="1" applyFont="1" applyFill="1" applyBorder="1" applyAlignment="1">
      <alignment horizontal="center"/>
      <protection/>
    </xf>
    <xf numFmtId="1" fontId="4" fillId="68" borderId="22" xfId="169" applyNumberFormat="1" applyFont="1" applyFill="1" applyBorder="1" applyAlignment="1">
      <alignment horizontal="center"/>
      <protection/>
    </xf>
    <xf numFmtId="0" fontId="0" fillId="0" borderId="29" xfId="169" applyFill="1" applyBorder="1">
      <alignment/>
      <protection/>
    </xf>
    <xf numFmtId="0" fontId="9" fillId="0" borderId="0" xfId="169" applyFont="1">
      <alignment/>
      <protection/>
    </xf>
    <xf numFmtId="0" fontId="3" fillId="0" borderId="0" xfId="169" applyFont="1" applyBorder="1" applyAlignment="1">
      <alignment horizontal="right" vertical="center"/>
      <protection/>
    </xf>
    <xf numFmtId="9" fontId="3" fillId="0" borderId="0" xfId="169" applyNumberFormat="1" applyFont="1" applyAlignment="1">
      <alignment horizontal="center" vertical="top"/>
      <protection/>
    </xf>
    <xf numFmtId="0" fontId="5" fillId="0" borderId="0" xfId="169" applyFont="1" applyBorder="1" applyAlignment="1" quotePrefix="1">
      <alignment horizontal="right" vertical="top"/>
      <protection/>
    </xf>
    <xf numFmtId="0" fontId="5" fillId="0" borderId="0" xfId="169" applyFont="1" applyBorder="1" applyAlignment="1" quotePrefix="1">
      <alignment horizontal="right"/>
      <protection/>
    </xf>
    <xf numFmtId="0" fontId="8" fillId="0" borderId="0" xfId="169" applyFont="1" applyFill="1" applyBorder="1" applyAlignment="1" quotePrefix="1">
      <alignment horizontal="right"/>
      <protection/>
    </xf>
    <xf numFmtId="0" fontId="8" fillId="0" borderId="0" xfId="169" applyFont="1" applyBorder="1" applyAlignment="1">
      <alignment vertical="top"/>
      <protection/>
    </xf>
    <xf numFmtId="0" fontId="0" fillId="0" borderId="0" xfId="169" applyAlignment="1">
      <alignment horizontal="left" vertical="top" wrapText="1"/>
      <protection/>
    </xf>
    <xf numFmtId="0" fontId="9" fillId="0" borderId="0" xfId="169" applyFont="1" applyAlignment="1">
      <alignment horizontal="left" vertical="top" wrapText="1"/>
      <protection/>
    </xf>
    <xf numFmtId="49" fontId="3" fillId="0" borderId="0" xfId="169" applyNumberFormat="1" applyFont="1" applyAlignment="1">
      <alignment vertical="top"/>
      <protection/>
    </xf>
    <xf numFmtId="49" fontId="4" fillId="0" borderId="0" xfId="169" applyNumberFormat="1" applyFont="1" applyAlignment="1">
      <alignment vertical="top"/>
      <protection/>
    </xf>
    <xf numFmtId="0" fontId="3" fillId="0" borderId="0" xfId="169" applyFont="1" applyAlignment="1">
      <alignment/>
      <protection/>
    </xf>
    <xf numFmtId="0" fontId="4" fillId="0" borderId="0" xfId="169" applyFont="1" applyBorder="1" applyAlignment="1">
      <alignment horizontal="center"/>
      <protection/>
    </xf>
    <xf numFmtId="0" fontId="17" fillId="0" borderId="0" xfId="169" applyFont="1" applyBorder="1" applyAlignment="1">
      <alignment horizontal="left" vertical="center"/>
      <protection/>
    </xf>
    <xf numFmtId="0" fontId="4" fillId="0" borderId="0" xfId="169" applyFont="1" applyBorder="1" applyAlignment="1" quotePrefix="1">
      <alignment horizontal="left" vertical="center"/>
      <protection/>
    </xf>
    <xf numFmtId="0" fontId="4" fillId="0" borderId="0" xfId="169" applyFont="1" applyBorder="1" applyAlignment="1">
      <alignment horizontal="left"/>
      <protection/>
    </xf>
    <xf numFmtId="49" fontId="4" fillId="0" borderId="38" xfId="169" applyNumberFormat="1" applyFont="1" applyBorder="1" applyAlignment="1">
      <alignment horizontal="left" wrapText="1"/>
      <protection/>
    </xf>
    <xf numFmtId="49" fontId="4" fillId="0" borderId="38" xfId="169" applyNumberFormat="1" applyFont="1" applyBorder="1" applyAlignment="1">
      <alignment horizontal="left"/>
      <protection/>
    </xf>
    <xf numFmtId="165" fontId="3" fillId="71" borderId="0" xfId="169" applyNumberFormat="1" applyFont="1" applyFill="1" applyBorder="1" applyAlignment="1" quotePrefix="1">
      <alignment horizontal="right" vertical="center"/>
      <protection/>
    </xf>
    <xf numFmtId="2" fontId="3" fillId="71" borderId="27" xfId="169" applyNumberFormat="1" applyFont="1" applyFill="1" applyBorder="1" applyAlignment="1" quotePrefix="1">
      <alignment horizontal="right" vertical="center"/>
      <protection/>
    </xf>
    <xf numFmtId="0" fontId="3" fillId="0" borderId="0" xfId="169" applyFont="1" applyAlignment="1">
      <alignment horizontal="left"/>
      <protection/>
    </xf>
    <xf numFmtId="165" fontId="17" fillId="71" borderId="28"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17" fillId="71" borderId="44" xfId="169" applyNumberFormat="1" applyFont="1" applyFill="1" applyBorder="1" applyAlignment="1">
      <alignment horizontal="right" vertical="center"/>
      <protection/>
    </xf>
    <xf numFmtId="2" fontId="17" fillId="71" borderId="28" xfId="169" applyNumberFormat="1" applyFont="1" applyFill="1" applyBorder="1" applyAlignment="1">
      <alignment horizontal="right" vertical="center"/>
      <protection/>
    </xf>
    <xf numFmtId="165" fontId="17" fillId="71" borderId="45" xfId="169" applyNumberFormat="1" applyFont="1" applyFill="1" applyBorder="1" applyAlignment="1">
      <alignment horizontal="right" vertical="center"/>
      <protection/>
    </xf>
    <xf numFmtId="0" fontId="3" fillId="71" borderId="0" xfId="169" applyFont="1" applyFill="1" applyAlignment="1">
      <alignment horizontal="center"/>
      <protection/>
    </xf>
    <xf numFmtId="165" fontId="17" fillId="0" borderId="45" xfId="169" applyNumberFormat="1" applyFont="1" applyBorder="1" applyAlignment="1">
      <alignment horizontal="right" vertical="center"/>
      <protection/>
    </xf>
    <xf numFmtId="2" fontId="3" fillId="70" borderId="46" xfId="169" applyNumberFormat="1" applyFont="1" applyFill="1" applyBorder="1" applyAlignment="1">
      <alignment horizontal="right" vertical="center"/>
      <protection/>
    </xf>
    <xf numFmtId="2" fontId="3" fillId="70" borderId="27" xfId="169" applyNumberFormat="1" applyFont="1" applyFill="1" applyBorder="1" applyAlignment="1">
      <alignment horizontal="right" vertical="center"/>
      <protection/>
    </xf>
    <xf numFmtId="165" fontId="3" fillId="70" borderId="46" xfId="169" applyNumberFormat="1" applyFont="1" applyFill="1" applyBorder="1" applyAlignment="1">
      <alignment horizontal="right" vertical="center"/>
      <protection/>
    </xf>
    <xf numFmtId="165" fontId="3" fillId="70" borderId="0" xfId="169" applyNumberFormat="1" applyFont="1" applyFill="1" applyBorder="1" applyAlignment="1" quotePrefix="1">
      <alignment horizontal="right" vertical="center"/>
      <protection/>
    </xf>
    <xf numFmtId="2" fontId="3" fillId="70" borderId="27" xfId="169" applyNumberFormat="1" applyFont="1" applyFill="1" applyBorder="1" applyAlignment="1" quotePrefix="1">
      <alignment horizontal="right" vertical="center"/>
      <protection/>
    </xf>
    <xf numFmtId="1" fontId="4" fillId="0" borderId="0" xfId="169" applyNumberFormat="1" applyFont="1" applyFill="1" applyBorder="1" applyAlignment="1">
      <alignment horizontal="center" vertical="center"/>
      <protection/>
    </xf>
    <xf numFmtId="0" fontId="4" fillId="68" borderId="27" xfId="169" applyFont="1" applyFill="1" applyBorder="1" applyAlignment="1">
      <alignment horizontal="center" vertical="top"/>
      <protection/>
    </xf>
    <xf numFmtId="1" fontId="4" fillId="68" borderId="27" xfId="169" applyNumberFormat="1" applyFont="1" applyFill="1" applyBorder="1" applyAlignment="1">
      <alignment horizontal="center" vertical="center"/>
      <protection/>
    </xf>
    <xf numFmtId="0" fontId="4" fillId="0" borderId="0" xfId="169" applyFont="1" applyBorder="1" applyAlignment="1">
      <alignment horizontal="center" vertical="top"/>
      <protection/>
    </xf>
    <xf numFmtId="0" fontId="4" fillId="0" borderId="0" xfId="169" applyFont="1" applyBorder="1" applyAlignment="1">
      <alignment horizontal="left" vertical="top"/>
      <protection/>
    </xf>
    <xf numFmtId="0" fontId="3" fillId="0" borderId="0" xfId="169" applyFont="1" applyAlignment="1">
      <alignment horizontal="left" vertical="top" wrapText="1"/>
      <protection/>
    </xf>
    <xf numFmtId="0" fontId="3" fillId="0" borderId="0" xfId="169" applyFont="1" applyBorder="1" applyAlignment="1">
      <alignment/>
      <protection/>
    </xf>
    <xf numFmtId="165" fontId="3" fillId="0" borderId="29" xfId="169" applyNumberFormat="1" applyFont="1" applyFill="1" applyBorder="1" applyAlignment="1">
      <alignment horizontal="right" vertical="center"/>
      <protection/>
    </xf>
    <xf numFmtId="165" fontId="3" fillId="71" borderId="22" xfId="169" applyNumberFormat="1" applyFont="1" applyFill="1" applyBorder="1" applyAlignment="1">
      <alignment horizontal="center" vertical="center"/>
      <protection/>
    </xf>
    <xf numFmtId="165" fontId="3" fillId="71" borderId="38" xfId="169" applyNumberFormat="1" applyFont="1" applyFill="1" applyBorder="1" applyAlignment="1">
      <alignment horizontal="center" vertical="center"/>
      <protection/>
    </xf>
    <xf numFmtId="2" fontId="3" fillId="71" borderId="22" xfId="169" applyNumberFormat="1" applyFont="1" applyFill="1" applyBorder="1" applyAlignment="1">
      <alignment horizontal="center" vertical="center"/>
      <protection/>
    </xf>
    <xf numFmtId="165" fontId="3" fillId="0" borderId="28" xfId="169" applyNumberFormat="1" applyFont="1" applyFill="1" applyBorder="1" applyAlignment="1">
      <alignment horizontal="center" vertical="center"/>
      <protection/>
    </xf>
    <xf numFmtId="165" fontId="17" fillId="71" borderId="27" xfId="169" applyNumberFormat="1" applyFont="1" applyFill="1" applyBorder="1" applyAlignment="1">
      <alignment horizontal="center" vertical="center"/>
      <protection/>
    </xf>
    <xf numFmtId="165" fontId="17" fillId="71" borderId="0" xfId="169" applyNumberFormat="1" applyFont="1" applyFill="1" applyBorder="1" applyAlignment="1">
      <alignment horizontal="center" vertical="center"/>
      <protection/>
    </xf>
    <xf numFmtId="165" fontId="3" fillId="71" borderId="0" xfId="169" applyNumberFormat="1" applyFont="1" applyFill="1" applyBorder="1" applyAlignment="1">
      <alignment horizontal="center" vertical="center"/>
      <protection/>
    </xf>
    <xf numFmtId="2" fontId="3" fillId="71" borderId="27" xfId="169" applyNumberFormat="1" applyFont="1" applyFill="1" applyBorder="1" applyAlignment="1">
      <alignment horizontal="center" vertical="center"/>
      <protection/>
    </xf>
    <xf numFmtId="165" fontId="3" fillId="0" borderId="27" xfId="169" applyNumberFormat="1" applyFont="1" applyFill="1" applyBorder="1" applyAlignment="1">
      <alignment horizontal="center" vertical="center"/>
      <protection/>
    </xf>
    <xf numFmtId="165" fontId="3" fillId="0" borderId="0" xfId="169" applyNumberFormat="1" applyFont="1" applyFill="1" applyBorder="1" applyAlignment="1">
      <alignment horizontal="center" vertical="center"/>
      <protection/>
    </xf>
    <xf numFmtId="2" fontId="3" fillId="0" borderId="27" xfId="169" applyNumberFormat="1" applyFont="1" applyFill="1" applyBorder="1" applyAlignment="1">
      <alignment horizontal="center" vertical="center"/>
      <protection/>
    </xf>
    <xf numFmtId="165" fontId="3" fillId="71" borderId="0" xfId="169" applyNumberFormat="1" applyFont="1" applyFill="1" applyBorder="1" applyAlignment="1">
      <alignment horizontal="right" vertical="center" wrapText="1"/>
      <protection/>
    </xf>
    <xf numFmtId="165" fontId="3" fillId="71" borderId="27" xfId="169" applyNumberFormat="1" applyFont="1" applyFill="1" applyBorder="1" applyAlignment="1">
      <alignment horizontal="center" vertical="center"/>
      <protection/>
    </xf>
    <xf numFmtId="165" fontId="17" fillId="71" borderId="46" xfId="169" applyNumberFormat="1" applyFont="1" applyFill="1" applyBorder="1" applyAlignment="1">
      <alignment horizontal="right" vertical="center"/>
      <protection/>
    </xf>
    <xf numFmtId="165" fontId="3" fillId="0" borderId="30" xfId="169" applyNumberFormat="1" applyFont="1" applyFill="1" applyBorder="1" applyAlignment="1">
      <alignment horizontal="right" vertical="center"/>
      <protection/>
    </xf>
    <xf numFmtId="2" fontId="3" fillId="0" borderId="30" xfId="169" applyNumberFormat="1" applyFont="1" applyFill="1" applyBorder="1" applyAlignment="1">
      <alignment horizontal="right" vertical="center"/>
      <protection/>
    </xf>
    <xf numFmtId="2" fontId="3" fillId="8" borderId="30" xfId="169" applyNumberFormat="1" applyFont="1" applyFill="1" applyBorder="1" applyAlignment="1">
      <alignment horizontal="right" vertical="center"/>
      <protection/>
    </xf>
    <xf numFmtId="165" fontId="3" fillId="0" borderId="0" xfId="169" applyNumberFormat="1" applyFont="1" applyBorder="1" applyAlignment="1">
      <alignment horizontal="center" vertical="center"/>
      <protection/>
    </xf>
    <xf numFmtId="2" fontId="3" fillId="0" borderId="27" xfId="169" applyNumberFormat="1" applyFont="1" applyBorder="1" applyAlignment="1">
      <alignment horizontal="center" vertical="center"/>
      <protection/>
    </xf>
    <xf numFmtId="165" fontId="17" fillId="70" borderId="0" xfId="169" applyNumberFormat="1" applyFont="1" applyFill="1" applyBorder="1" applyAlignment="1">
      <alignment horizontal="right" vertical="center"/>
      <protection/>
    </xf>
    <xf numFmtId="2" fontId="17" fillId="70" borderId="27" xfId="169" applyNumberFormat="1" applyFont="1" applyFill="1" applyBorder="1" applyAlignment="1">
      <alignment horizontal="right" vertical="center"/>
      <protection/>
    </xf>
    <xf numFmtId="0" fontId="3" fillId="0" borderId="0" xfId="169" applyFont="1" applyAlignment="1">
      <alignment horizontal="center" vertical="top"/>
      <protection/>
    </xf>
    <xf numFmtId="49" fontId="4" fillId="0" borderId="0" xfId="169" applyNumberFormat="1" applyFont="1" applyBorder="1" applyAlignment="1">
      <alignment horizontal="left" wrapText="1"/>
      <protection/>
    </xf>
    <xf numFmtId="49" fontId="4" fillId="0" borderId="0" xfId="169" applyNumberFormat="1" applyFont="1" applyBorder="1" applyAlignment="1">
      <alignment horizontal="left"/>
      <protection/>
    </xf>
    <xf numFmtId="165" fontId="3" fillId="72" borderId="13" xfId="169" applyNumberFormat="1" applyFont="1" applyFill="1" applyBorder="1" applyAlignment="1">
      <alignment horizontal="right" vertical="center"/>
      <protection/>
    </xf>
    <xf numFmtId="165" fontId="3" fillId="72" borderId="29" xfId="169" applyNumberFormat="1" applyFont="1" applyFill="1" applyBorder="1" applyAlignment="1">
      <alignment horizontal="center" vertical="center"/>
      <protection/>
    </xf>
    <xf numFmtId="165" fontId="3" fillId="72" borderId="0"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65" fontId="3" fillId="72" borderId="29" xfId="169" applyNumberFormat="1" applyFont="1" applyFill="1" applyBorder="1" applyAlignment="1">
      <alignment horizontal="right" vertical="center"/>
      <protection/>
    </xf>
    <xf numFmtId="165" fontId="3" fillId="72" borderId="0"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17" fillId="72" borderId="0" xfId="169" applyNumberFormat="1" applyFont="1" applyFill="1" applyBorder="1" applyAlignment="1">
      <alignment horizontal="center" vertical="center"/>
      <protection/>
    </xf>
    <xf numFmtId="1" fontId="4" fillId="72" borderId="13" xfId="169" applyNumberFormat="1" applyFont="1" applyFill="1" applyBorder="1" applyAlignment="1">
      <alignment horizontal="center" wrapText="1"/>
      <protection/>
    </xf>
    <xf numFmtId="1" fontId="4" fillId="72" borderId="38" xfId="169" applyNumberFormat="1" applyFont="1" applyFill="1" applyBorder="1" applyAlignment="1">
      <alignment horizontal="center" wrapText="1"/>
      <protection/>
    </xf>
    <xf numFmtId="0" fontId="8" fillId="0" borderId="0" xfId="169" applyFont="1">
      <alignment/>
      <protection/>
    </xf>
    <xf numFmtId="165" fontId="4" fillId="0" borderId="0" xfId="169" applyNumberFormat="1" applyFont="1" applyBorder="1" applyAlignment="1">
      <alignment horizontal="center" vertical="top"/>
      <protection/>
    </xf>
    <xf numFmtId="0" fontId="4" fillId="71" borderId="22" xfId="0" applyFont="1" applyFill="1" applyBorder="1" applyAlignment="1">
      <alignment horizontal="center" vertical="center"/>
    </xf>
    <xf numFmtId="165" fontId="17" fillId="71" borderId="38" xfId="0" applyNumberFormat="1" applyFont="1" applyFill="1" applyBorder="1" applyAlignment="1">
      <alignment horizontal="right" vertical="center"/>
    </xf>
    <xf numFmtId="2" fontId="3" fillId="0" borderId="22" xfId="169" applyNumberFormat="1" applyFont="1" applyFill="1" applyBorder="1" applyAlignment="1">
      <alignment horizontal="center" vertical="center"/>
      <protection/>
    </xf>
    <xf numFmtId="165" fontId="3" fillId="0" borderId="38" xfId="169" applyNumberFormat="1" applyFont="1" applyFill="1" applyBorder="1" applyAlignment="1">
      <alignment horizontal="center" vertical="center"/>
      <protection/>
    </xf>
    <xf numFmtId="165" fontId="3" fillId="0" borderId="22"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74" fontId="3" fillId="0" borderId="40"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174" fontId="3" fillId="0" borderId="39" xfId="0" applyNumberFormat="1" applyFont="1" applyFill="1" applyBorder="1" applyAlignment="1">
      <alignment horizontal="center" vertical="center"/>
    </xf>
    <xf numFmtId="174" fontId="4" fillId="0" borderId="22" xfId="0" applyNumberFormat="1" applyFont="1" applyFill="1" applyBorder="1" applyAlignment="1">
      <alignment horizontal="center" vertical="center"/>
    </xf>
    <xf numFmtId="174" fontId="3" fillId="0" borderId="30"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29"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3" fillId="0" borderId="48" xfId="0" applyNumberFormat="1" applyFont="1" applyFill="1" applyBorder="1" applyAlignment="1">
      <alignment horizontal="center" vertical="center"/>
    </xf>
    <xf numFmtId="174" fontId="3" fillId="0" borderId="42" xfId="0" applyNumberFormat="1" applyFont="1" applyFill="1" applyBorder="1" applyAlignment="1">
      <alignment horizontal="center" vertical="center"/>
    </xf>
    <xf numFmtId="168" fontId="3" fillId="0" borderId="29"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165" fontId="3" fillId="0" borderId="0" xfId="169" applyNumberFormat="1" applyFont="1" applyBorder="1" applyAlignment="1">
      <alignment vertical="top"/>
      <protection/>
    </xf>
    <xf numFmtId="165" fontId="17" fillId="0" borderId="38" xfId="0" applyNumberFormat="1" applyFont="1" applyFill="1" applyBorder="1" applyAlignment="1">
      <alignment horizontal="center" vertical="center"/>
    </xf>
    <xf numFmtId="2" fontId="3" fillId="0" borderId="49" xfId="0" applyNumberFormat="1" applyFont="1" applyFill="1" applyBorder="1" applyAlignment="1">
      <alignment horizontal="right" vertical="center"/>
    </xf>
    <xf numFmtId="165" fontId="3" fillId="0" borderId="49" xfId="0" applyNumberFormat="1" applyFont="1" applyBorder="1" applyAlignment="1">
      <alignment horizontal="center" vertical="center"/>
    </xf>
    <xf numFmtId="165" fontId="3" fillId="71" borderId="3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78" fontId="3" fillId="0" borderId="0" xfId="169" applyNumberFormat="1" applyFont="1" applyAlignment="1">
      <alignment vertical="top"/>
      <protection/>
    </xf>
    <xf numFmtId="178" fontId="3" fillId="0" borderId="0" xfId="169" applyNumberFormat="1" applyFont="1">
      <alignment/>
      <protection/>
    </xf>
    <xf numFmtId="179" fontId="3" fillId="0" borderId="0" xfId="169" applyNumberFormat="1" applyFont="1">
      <alignment/>
      <protection/>
    </xf>
    <xf numFmtId="1" fontId="3" fillId="0" borderId="0" xfId="169" applyNumberFormat="1" applyFont="1">
      <alignment/>
      <protection/>
    </xf>
    <xf numFmtId="165" fontId="3" fillId="71" borderId="38" xfId="169" applyNumberFormat="1" applyFont="1" applyFill="1" applyBorder="1" applyAlignment="1">
      <alignment horizontal="center" vertical="center"/>
      <protection/>
    </xf>
    <xf numFmtId="2" fontId="3" fillId="0" borderId="0" xfId="169" applyNumberFormat="1" applyFont="1">
      <alignment/>
      <protection/>
    </xf>
    <xf numFmtId="165" fontId="3" fillId="0" borderId="45" xfId="169" applyNumberFormat="1" applyFont="1" applyBorder="1" applyAlignment="1">
      <alignment horizontal="right" vertical="center"/>
      <protection/>
    </xf>
    <xf numFmtId="165" fontId="17" fillId="71" borderId="29"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1" fontId="4" fillId="72" borderId="0" xfId="169" applyNumberFormat="1" applyFont="1" applyFill="1" applyBorder="1" applyAlignment="1">
      <alignment horizontal="center" wrapText="1"/>
      <protection/>
    </xf>
    <xf numFmtId="165" fontId="3" fillId="72" borderId="45" xfId="169" applyNumberFormat="1" applyFont="1" applyFill="1" applyBorder="1" applyAlignment="1">
      <alignment horizontal="center" vertical="center"/>
      <protection/>
    </xf>
    <xf numFmtId="174" fontId="3" fillId="0" borderId="0" xfId="0" applyNumberFormat="1" applyFont="1" applyFill="1" applyBorder="1" applyAlignment="1">
      <alignment horizontal="center" vertical="center"/>
    </xf>
    <xf numFmtId="165" fontId="17" fillId="0" borderId="0" xfId="169" applyNumberFormat="1" applyFont="1" applyBorder="1" applyAlignment="1">
      <alignment vertical="top"/>
      <protection/>
    </xf>
    <xf numFmtId="165" fontId="3" fillId="71" borderId="22" xfId="169" applyNumberFormat="1" applyFont="1" applyFill="1" applyBorder="1" applyAlignment="1">
      <alignment horizontal="right" vertical="center"/>
      <protection/>
    </xf>
    <xf numFmtId="2" fontId="17" fillId="0" borderId="30" xfId="0" applyNumberFormat="1" applyFont="1" applyFill="1" applyBorder="1" applyAlignment="1">
      <alignment horizontal="right" vertical="center"/>
    </xf>
    <xf numFmtId="165" fontId="17" fillId="0" borderId="38" xfId="169" applyNumberFormat="1" applyFont="1" applyFill="1" applyBorder="1" applyAlignment="1">
      <alignment horizontal="right" vertical="center"/>
      <protection/>
    </xf>
    <xf numFmtId="178" fontId="3" fillId="0" borderId="0" xfId="169" applyNumberFormat="1" applyFont="1" applyBorder="1" applyAlignment="1">
      <alignment horizontal="right" vertical="center"/>
      <protection/>
    </xf>
    <xf numFmtId="0" fontId="3" fillId="0" borderId="0" xfId="169" applyFont="1" applyBorder="1">
      <alignment/>
      <protection/>
    </xf>
    <xf numFmtId="165" fontId="3" fillId="0" borderId="29" xfId="169" applyNumberFormat="1" applyFont="1" applyBorder="1" applyAlignment="1">
      <alignment horizontal="right" vertical="center"/>
      <protection/>
    </xf>
    <xf numFmtId="165" fontId="17" fillId="0" borderId="29" xfId="169" applyNumberFormat="1" applyFont="1" applyBorder="1" applyAlignment="1">
      <alignment horizontal="right" vertical="center"/>
      <protection/>
    </xf>
    <xf numFmtId="165" fontId="3" fillId="8" borderId="29" xfId="169" applyNumberFormat="1" applyFont="1" applyFill="1" applyBorder="1" applyAlignment="1">
      <alignment horizontal="right" vertical="center"/>
      <protection/>
    </xf>
    <xf numFmtId="165" fontId="3" fillId="70" borderId="29" xfId="169" applyNumberFormat="1" applyFont="1" applyFill="1" applyBorder="1" applyAlignment="1">
      <alignment horizontal="right" vertical="center"/>
      <protection/>
    </xf>
    <xf numFmtId="165" fontId="3" fillId="71" borderId="29" xfId="169" applyNumberFormat="1" applyFont="1" applyFill="1" applyBorder="1" applyAlignment="1">
      <alignment horizontal="right" vertical="center"/>
      <protection/>
    </xf>
    <xf numFmtId="165" fontId="17" fillId="0" borderId="29" xfId="169" applyNumberFormat="1" applyFont="1" applyFill="1" applyBorder="1" applyAlignment="1">
      <alignment horizontal="right" vertical="center"/>
      <protection/>
    </xf>
    <xf numFmtId="165" fontId="17" fillId="0" borderId="29" xfId="169" applyNumberFormat="1" applyFont="1" applyBorder="1" applyAlignment="1">
      <alignment vertical="top"/>
      <protection/>
    </xf>
    <xf numFmtId="165" fontId="3" fillId="71" borderId="39" xfId="169" applyNumberFormat="1" applyFont="1" applyFill="1" applyBorder="1" applyAlignment="1">
      <alignment horizontal="right" vertical="center"/>
      <protection/>
    </xf>
    <xf numFmtId="165" fontId="3" fillId="8" borderId="27" xfId="169" applyNumberFormat="1" applyFont="1" applyFill="1" applyBorder="1" applyAlignment="1">
      <alignment horizontal="right"/>
      <protection/>
    </xf>
    <xf numFmtId="179" fontId="3" fillId="0" borderId="0" xfId="169" applyNumberFormat="1" applyFont="1" applyAlignment="1">
      <alignment horizontal="left" vertical="top" wrapText="1"/>
      <protection/>
    </xf>
    <xf numFmtId="165" fontId="3" fillId="72" borderId="39" xfId="169" applyNumberFormat="1" applyFont="1" applyFill="1" applyBorder="1" applyAlignment="1">
      <alignment horizontal="center" vertical="center"/>
      <protection/>
    </xf>
    <xf numFmtId="165" fontId="17" fillId="0" borderId="45" xfId="169" applyNumberFormat="1" applyFont="1" applyFill="1" applyBorder="1">
      <alignment/>
      <protection/>
    </xf>
    <xf numFmtId="165" fontId="17" fillId="0" borderId="45" xfId="169" applyNumberFormat="1" applyFont="1" applyFill="1" applyBorder="1" applyAlignment="1">
      <alignment horizontal="right" vertical="center"/>
      <protection/>
    </xf>
    <xf numFmtId="165" fontId="18" fillId="0" borderId="29"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0" fontId="4" fillId="8" borderId="28" xfId="0" applyFont="1" applyFill="1" applyBorder="1" applyAlignment="1">
      <alignment horizontal="center" vertical="center"/>
    </xf>
    <xf numFmtId="165" fontId="17" fillId="0" borderId="50" xfId="0" applyNumberFormat="1" applyFont="1" applyBorder="1" applyAlignment="1">
      <alignment/>
    </xf>
    <xf numFmtId="165" fontId="17" fillId="0" borderId="47" xfId="0" applyNumberFormat="1" applyFont="1" applyBorder="1" applyAlignment="1">
      <alignment/>
    </xf>
    <xf numFmtId="0" fontId="4" fillId="69" borderId="38" xfId="0" applyFont="1" applyFill="1" applyBorder="1" applyAlignment="1">
      <alignment horizontal="center" vertical="center"/>
    </xf>
    <xf numFmtId="1" fontId="4" fillId="8" borderId="30" xfId="0" applyNumberFormat="1" applyFont="1" applyFill="1" applyBorder="1" applyAlignment="1">
      <alignment horizontal="center" vertical="center"/>
    </xf>
    <xf numFmtId="1" fontId="4" fillId="8" borderId="50" xfId="0" applyNumberFormat="1" applyFont="1" applyFill="1" applyBorder="1" applyAlignment="1">
      <alignment horizontal="center" vertical="center"/>
    </xf>
    <xf numFmtId="2" fontId="18" fillId="0" borderId="28" xfId="0" applyNumberFormat="1" applyFont="1" applyFill="1" applyBorder="1" applyAlignment="1">
      <alignment horizontal="right" vertical="center"/>
    </xf>
    <xf numFmtId="165" fontId="17" fillId="0" borderId="30" xfId="0" applyNumberFormat="1" applyFont="1" applyBorder="1" applyAlignment="1">
      <alignment horizontal="center" vertical="center"/>
    </xf>
    <xf numFmtId="165" fontId="17" fillId="0" borderId="47" xfId="0" applyNumberFormat="1" applyFont="1" applyBorder="1" applyAlignment="1">
      <alignment horizontal="center" vertical="center"/>
    </xf>
    <xf numFmtId="165" fontId="3" fillId="0" borderId="13" xfId="0" applyNumberFormat="1" applyFont="1" applyBorder="1" applyAlignment="1">
      <alignment horizontal="center" vertical="center"/>
    </xf>
    <xf numFmtId="2" fontId="3" fillId="0" borderId="13" xfId="0" applyNumberFormat="1" applyFont="1" applyFill="1" applyBorder="1" applyAlignment="1">
      <alignment horizontal="right" vertical="center"/>
    </xf>
    <xf numFmtId="2" fontId="17" fillId="0" borderId="13" xfId="0" applyNumberFormat="1" applyFont="1" applyFill="1" applyBorder="1" applyAlignment="1">
      <alignment horizontal="right" vertical="center"/>
    </xf>
    <xf numFmtId="2" fontId="3" fillId="0" borderId="38"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165" fontId="3" fillId="71" borderId="13" xfId="169" applyNumberFormat="1" applyFont="1" applyFill="1" applyBorder="1" applyAlignment="1">
      <alignment horizontal="right" vertical="center"/>
      <protection/>
    </xf>
    <xf numFmtId="165" fontId="3" fillId="72" borderId="47" xfId="169" applyNumberFormat="1" applyFont="1" applyFill="1" applyBorder="1" applyAlignment="1">
      <alignment horizontal="center" vertical="center"/>
      <protection/>
    </xf>
    <xf numFmtId="165" fontId="3" fillId="72" borderId="47"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0" fontId="4" fillId="8" borderId="23" xfId="169" applyFont="1" applyFill="1" applyBorder="1" applyAlignment="1">
      <alignment horizontal="center" vertical="center"/>
      <protection/>
    </xf>
    <xf numFmtId="165" fontId="4" fillId="8" borderId="24" xfId="169" applyNumberFormat="1" applyFont="1" applyFill="1" applyBorder="1" applyAlignment="1">
      <alignment horizontal="right" vertical="center"/>
      <protection/>
    </xf>
    <xf numFmtId="165" fontId="18" fillId="8" borderId="31" xfId="169" applyNumberFormat="1" applyFont="1" applyFill="1" applyBorder="1" applyAlignment="1">
      <alignment horizontal="right" vertical="center"/>
      <protection/>
    </xf>
    <xf numFmtId="165" fontId="4" fillId="8" borderId="31" xfId="169" applyNumberFormat="1" applyFont="1" applyFill="1" applyBorder="1" applyAlignment="1">
      <alignment horizontal="right" vertical="center"/>
      <protection/>
    </xf>
    <xf numFmtId="165" fontId="18" fillId="72" borderId="31" xfId="169" applyNumberFormat="1" applyFont="1" applyFill="1" applyBorder="1" applyAlignment="1">
      <alignment horizontal="center" vertical="center"/>
      <protection/>
    </xf>
    <xf numFmtId="165" fontId="18" fillId="72" borderId="41" xfId="169" applyNumberFormat="1" applyFont="1" applyFill="1" applyBorder="1" applyAlignment="1">
      <alignment horizontal="center" vertical="center"/>
      <protection/>
    </xf>
    <xf numFmtId="165" fontId="4" fillId="8" borderId="23" xfId="169" applyNumberFormat="1" applyFont="1" applyFill="1" applyBorder="1" applyAlignment="1">
      <alignment horizontal="right" vertical="center"/>
      <protection/>
    </xf>
    <xf numFmtId="165" fontId="3" fillId="71" borderId="50" xfId="169" applyNumberFormat="1" applyFont="1" applyFill="1" applyBorder="1" applyAlignment="1">
      <alignment horizontal="right" vertical="center"/>
      <protection/>
    </xf>
    <xf numFmtId="165" fontId="3" fillId="71" borderId="28" xfId="169" applyNumberFormat="1" applyFont="1" applyFill="1" applyBorder="1" applyAlignment="1">
      <alignment horizontal="right" vertical="center"/>
      <protection/>
    </xf>
    <xf numFmtId="165" fontId="3" fillId="0" borderId="27" xfId="169" applyNumberFormat="1" applyFont="1" applyFill="1" applyBorder="1" applyAlignment="1" quotePrefix="1">
      <alignment horizontal="right" vertical="center"/>
      <protection/>
    </xf>
    <xf numFmtId="165" fontId="3" fillId="71" borderId="27" xfId="169" applyNumberFormat="1" applyFont="1" applyFill="1" applyBorder="1" applyAlignment="1" quotePrefix="1">
      <alignment horizontal="right" vertical="center"/>
      <protection/>
    </xf>
    <xf numFmtId="168" fontId="3" fillId="0" borderId="47" xfId="0" applyNumberFormat="1" applyFont="1" applyBorder="1" applyAlignment="1">
      <alignment horizontal="right" vertical="center"/>
    </xf>
    <xf numFmtId="2" fontId="3" fillId="0" borderId="30" xfId="0" applyNumberFormat="1" applyFont="1" applyFill="1" applyBorder="1" applyAlignment="1">
      <alignment horizontal="right" vertical="center"/>
    </xf>
    <xf numFmtId="2" fontId="3" fillId="0" borderId="50" xfId="0" applyNumberFormat="1" applyFont="1" applyFill="1" applyBorder="1" applyAlignment="1">
      <alignment horizontal="right" vertical="center"/>
    </xf>
    <xf numFmtId="2" fontId="3" fillId="0" borderId="13"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47" xfId="0" applyNumberFormat="1" applyFont="1" applyFill="1" applyBorder="1" applyAlignment="1">
      <alignment horizontal="right" vertical="center"/>
    </xf>
    <xf numFmtId="165" fontId="17" fillId="0" borderId="13" xfId="0" applyNumberFormat="1" applyFont="1" applyBorder="1" applyAlignment="1">
      <alignment horizontal="center" vertical="center"/>
    </xf>
    <xf numFmtId="165" fontId="3" fillId="0" borderId="30" xfId="0" applyNumberFormat="1" applyFont="1" applyBorder="1" applyAlignment="1">
      <alignment horizontal="center" vertical="center"/>
    </xf>
    <xf numFmtId="165" fontId="3" fillId="0" borderId="50" xfId="0" applyNumberFormat="1" applyFont="1" applyBorder="1" applyAlignment="1">
      <alignment horizontal="center" vertical="center"/>
    </xf>
    <xf numFmtId="165" fontId="3" fillId="0" borderId="47" xfId="0" applyNumberFormat="1" applyFont="1" applyBorder="1" applyAlignment="1">
      <alignment horizontal="center" vertical="center"/>
    </xf>
    <xf numFmtId="165" fontId="17" fillId="71" borderId="47" xfId="169" applyNumberFormat="1" applyFont="1" applyFill="1" applyBorder="1" applyAlignment="1">
      <alignment horizontal="right" vertical="center"/>
      <protection/>
    </xf>
    <xf numFmtId="165" fontId="3" fillId="71" borderId="47"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3" fillId="0" borderId="45" xfId="169" applyNumberFormat="1" applyFont="1" applyBorder="1">
      <alignment/>
      <protection/>
    </xf>
    <xf numFmtId="2" fontId="18" fillId="8" borderId="23" xfId="169" applyNumberFormat="1" applyFont="1" applyFill="1" applyBorder="1" applyAlignment="1">
      <alignment vertical="center"/>
      <protection/>
    </xf>
    <xf numFmtId="174" fontId="18" fillId="8" borderId="24" xfId="169" applyNumberFormat="1" applyFont="1" applyFill="1" applyBorder="1" applyAlignment="1">
      <alignment vertical="center"/>
      <protection/>
    </xf>
    <xf numFmtId="174" fontId="18" fillId="8" borderId="31" xfId="169" applyNumberFormat="1" applyFont="1" applyFill="1" applyBorder="1" applyAlignment="1">
      <alignment vertical="center"/>
      <protection/>
    </xf>
    <xf numFmtId="174" fontId="18" fillId="8" borderId="31" xfId="169" applyNumberFormat="1" applyFont="1" applyFill="1" applyBorder="1" applyAlignment="1">
      <alignment horizontal="right"/>
      <protection/>
    </xf>
    <xf numFmtId="165" fontId="18" fillId="8" borderId="23" xfId="169" applyNumberFormat="1" applyFont="1" applyFill="1" applyBorder="1" applyAlignment="1">
      <alignment horizontal="right"/>
      <protection/>
    </xf>
    <xf numFmtId="165" fontId="3" fillId="8" borderId="23" xfId="169" applyNumberFormat="1" applyFont="1" applyFill="1" applyBorder="1" applyAlignment="1">
      <alignment horizontal="right"/>
      <protection/>
    </xf>
    <xf numFmtId="165" fontId="4" fillId="8" borderId="31" xfId="169" applyNumberFormat="1" applyFont="1" applyFill="1" applyBorder="1" applyAlignment="1">
      <alignment horizontal="right"/>
      <protection/>
    </xf>
    <xf numFmtId="165" fontId="18" fillId="8" borderId="31" xfId="169" applyNumberFormat="1" applyFont="1" applyFill="1" applyBorder="1" applyAlignment="1">
      <alignment horizontal="right"/>
      <protection/>
    </xf>
    <xf numFmtId="165" fontId="18" fillId="8" borderId="41" xfId="169" applyNumberFormat="1" applyFont="1" applyFill="1" applyBorder="1" applyAlignment="1">
      <alignment horizontal="right"/>
      <protection/>
    </xf>
    <xf numFmtId="165" fontId="4" fillId="8" borderId="23" xfId="169" applyNumberFormat="1" applyFont="1" applyFill="1" applyBorder="1" applyAlignment="1">
      <alignment horizontal="right"/>
      <protection/>
    </xf>
    <xf numFmtId="165" fontId="18" fillId="8" borderId="23" xfId="169" applyNumberFormat="1" applyFont="1" applyFill="1" applyBorder="1" applyAlignment="1">
      <alignment horizontal="right" vertical="center"/>
      <protection/>
    </xf>
    <xf numFmtId="0" fontId="4" fillId="8" borderId="41" xfId="169" applyFont="1" applyFill="1" applyBorder="1" applyAlignment="1">
      <alignment horizontal="center" vertical="center"/>
      <protection/>
    </xf>
    <xf numFmtId="165" fontId="3" fillId="71" borderId="51"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wrapText="1"/>
      <protection/>
    </xf>
    <xf numFmtId="165" fontId="18" fillId="8" borderId="31" xfId="0" applyNumberFormat="1" applyFont="1" applyFill="1" applyBorder="1" applyAlignment="1">
      <alignment horizontal="right"/>
    </xf>
    <xf numFmtId="166" fontId="17" fillId="0" borderId="29" xfId="0" applyNumberFormat="1" applyFont="1" applyBorder="1" applyAlignment="1">
      <alignment horizontal="center" vertical="center"/>
    </xf>
    <xf numFmtId="166" fontId="17" fillId="0" borderId="13" xfId="0" applyNumberFormat="1" applyFont="1" applyBorder="1" applyAlignment="1">
      <alignment horizontal="center" vertical="center"/>
    </xf>
    <xf numFmtId="166" fontId="3" fillId="0" borderId="13" xfId="0" applyNumberFormat="1" applyFont="1" applyBorder="1" applyAlignment="1">
      <alignment horizontal="center" vertical="center"/>
    </xf>
    <xf numFmtId="165" fontId="17" fillId="0" borderId="13" xfId="0" applyNumberFormat="1" applyFont="1" applyBorder="1" applyAlignment="1">
      <alignment/>
    </xf>
    <xf numFmtId="165" fontId="3" fillId="0" borderId="13" xfId="0" applyNumberFormat="1" applyFont="1" applyBorder="1" applyAlignment="1">
      <alignment/>
    </xf>
    <xf numFmtId="0" fontId="4" fillId="0" borderId="0" xfId="0" applyFont="1" applyAlignment="1">
      <alignment vertical="top"/>
    </xf>
    <xf numFmtId="0" fontId="4" fillId="0" borderId="0" xfId="0" applyFont="1" applyFill="1" applyBorder="1" applyAlignment="1">
      <alignment horizontal="left"/>
    </xf>
    <xf numFmtId="174" fontId="3" fillId="0" borderId="29" xfId="0" applyNumberFormat="1" applyFont="1" applyFill="1" applyBorder="1" applyAlignment="1">
      <alignment horizontal="center" vertical="center"/>
    </xf>
    <xf numFmtId="0" fontId="23" fillId="8" borderId="50" xfId="0" applyFont="1" applyFill="1" applyBorder="1" applyAlignment="1">
      <alignment horizontal="center" vertical="center"/>
    </xf>
    <xf numFmtId="174" fontId="3" fillId="0" borderId="50"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4" fillId="0" borderId="28" xfId="0" applyNumberFormat="1" applyFont="1" applyFill="1" applyBorder="1" applyAlignment="1">
      <alignment horizontal="center" vertical="center"/>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169" fontId="3" fillId="0" borderId="50" xfId="0" applyNumberFormat="1" applyFont="1" applyFill="1" applyBorder="1" applyAlignment="1">
      <alignment horizontal="center" vertical="center"/>
    </xf>
    <xf numFmtId="169" fontId="3" fillId="0" borderId="13" xfId="0" applyNumberFormat="1" applyFont="1" applyFill="1" applyBorder="1" applyAlignment="1">
      <alignment horizontal="center" vertical="center"/>
    </xf>
    <xf numFmtId="169" fontId="3" fillId="0" borderId="47" xfId="0" applyNumberFormat="1" applyFont="1" applyFill="1" applyBorder="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2"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3" xfId="0" applyFont="1" applyBorder="1" applyAlignment="1">
      <alignment wrapText="1"/>
    </xf>
    <xf numFmtId="0" fontId="5" fillId="0" borderId="0" xfId="169" applyFont="1" applyBorder="1" applyAlignment="1">
      <alignment horizontal="center" vertical="top"/>
      <protection/>
    </xf>
    <xf numFmtId="49" fontId="4" fillId="0" borderId="0" xfId="169" applyNumberFormat="1" applyFont="1" applyAlignment="1">
      <alignment vertical="top" wrapText="1"/>
      <protection/>
    </xf>
    <xf numFmtId="49" fontId="4" fillId="0" borderId="38" xfId="169" applyNumberFormat="1" applyFont="1" applyBorder="1" applyAlignment="1">
      <alignment horizontal="left" wrapText="1"/>
      <protection/>
    </xf>
    <xf numFmtId="0" fontId="5" fillId="0" borderId="0" xfId="169" applyFont="1" applyFill="1" applyBorder="1" applyAlignment="1">
      <alignment horizontal="center" vertical="top"/>
      <protection/>
    </xf>
    <xf numFmtId="49" fontId="4" fillId="0" borderId="0" xfId="169"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4" fillId="68" borderId="22" xfId="0" applyFont="1" applyFill="1" applyBorder="1" applyAlignment="1">
      <alignment horizontal="center" vertical="center" wrapText="1"/>
    </xf>
    <xf numFmtId="0" fontId="4" fillId="68" borderId="28" xfId="0" applyFont="1" applyFill="1" applyBorder="1" applyAlignment="1">
      <alignment horizontal="center" vertical="center" wrapText="1"/>
    </xf>
    <xf numFmtId="0" fontId="4" fillId="68" borderId="22" xfId="0" applyFont="1" applyFill="1" applyBorder="1" applyAlignment="1">
      <alignment horizontal="center" vertical="center"/>
    </xf>
    <xf numFmtId="0" fontId="4" fillId="68" borderId="28" xfId="0" applyFont="1" applyFill="1" applyBorder="1" applyAlignment="1">
      <alignment horizontal="center" vertical="center"/>
    </xf>
    <xf numFmtId="0" fontId="4" fillId="0" borderId="0" xfId="0" applyFont="1" applyFill="1" applyBorder="1" applyAlignment="1">
      <alignment horizontal="center" vertical="center" textRotation="90"/>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top" wrapText="1"/>
    </xf>
    <xf numFmtId="165" fontId="3" fillId="0" borderId="52" xfId="169" applyNumberFormat="1" applyFont="1" applyBorder="1" applyAlignment="1">
      <alignment horizontal="right" vertical="center"/>
      <protection/>
    </xf>
  </cellXfs>
  <cellStyles count="289">
    <cellStyle name="Normal" xfId="0"/>
    <cellStyle name="€ : (passage a l'EURO)"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A2.Heading1" xfId="64"/>
    <cellStyle name="A2.Heading2" xfId="65"/>
    <cellStyle name="Accent1" xfId="66"/>
    <cellStyle name="Accent1 2" xfId="67"/>
    <cellStyle name="Accent2" xfId="68"/>
    <cellStyle name="Accent2 2" xfId="69"/>
    <cellStyle name="Accent3" xfId="70"/>
    <cellStyle name="Accent3 2" xfId="71"/>
    <cellStyle name="Accent4" xfId="72"/>
    <cellStyle name="Accent4 2" xfId="73"/>
    <cellStyle name="Accent5" xfId="74"/>
    <cellStyle name="Accent5 2" xfId="75"/>
    <cellStyle name="Accent6" xfId="76"/>
    <cellStyle name="Accent6 2" xfId="77"/>
    <cellStyle name="Bad" xfId="78"/>
    <cellStyle name="Bad 2" xfId="79"/>
    <cellStyle name="C1.general" xfId="80"/>
    <cellStyle name="C1.percentage" xfId="81"/>
    <cellStyle name="Calculation" xfId="82"/>
    <cellStyle name="Calculation 2" xfId="83"/>
    <cellStyle name="Check Cell" xfId="84"/>
    <cellStyle name="Check Cell 2" xfId="85"/>
    <cellStyle name="Column heading" xfId="86"/>
    <cellStyle name="Comma" xfId="87"/>
    <cellStyle name="Comma [0]" xfId="88"/>
    <cellStyle name="Comma 2" xfId="89"/>
    <cellStyle name="Comma 2 2" xfId="90"/>
    <cellStyle name="Comma 3" xfId="91"/>
    <cellStyle name="Comma 4" xfId="92"/>
    <cellStyle name="Comma 5" xfId="93"/>
    <cellStyle name="Comma 6" xfId="94"/>
    <cellStyle name="Comma 6 2" xfId="95"/>
    <cellStyle name="Comma 7" xfId="96"/>
    <cellStyle name="Corner heading" xfId="97"/>
    <cellStyle name="Currency" xfId="98"/>
    <cellStyle name="Currency [0]" xfId="99"/>
    <cellStyle name="Currency 2" xfId="100"/>
    <cellStyle name="Currency 3" xfId="101"/>
    <cellStyle name="Currency 3 2" xfId="102"/>
    <cellStyle name="Currency 4" xfId="103"/>
    <cellStyle name="Data" xfId="104"/>
    <cellStyle name="Data 2" xfId="105"/>
    <cellStyle name="Data 2 2" xfId="106"/>
    <cellStyle name="Data 3" xfId="107"/>
    <cellStyle name="Data no deci" xfId="108"/>
    <cellStyle name="Data no deci 2" xfId="109"/>
    <cellStyle name="Data Superscript" xfId="110"/>
    <cellStyle name="Data Superscript 2" xfId="111"/>
    <cellStyle name="Data_1-1A-Regular" xfId="112"/>
    <cellStyle name="Euro" xfId="113"/>
    <cellStyle name="Explanatory Text" xfId="114"/>
    <cellStyle name="Explanatory Text 2" xfId="115"/>
    <cellStyle name="Explanatory Text 3" xfId="116"/>
    <cellStyle name="FEST" xfId="117"/>
    <cellStyle name="Följde hyperlänken" xfId="118"/>
    <cellStyle name="Good" xfId="119"/>
    <cellStyle name="Good 2" xfId="120"/>
    <cellStyle name="Heading" xfId="121"/>
    <cellStyle name="Heading 1" xfId="122"/>
    <cellStyle name="Heading 1 2" xfId="123"/>
    <cellStyle name="Heading 2" xfId="124"/>
    <cellStyle name="Heading 2 2" xfId="125"/>
    <cellStyle name="Heading 3" xfId="126"/>
    <cellStyle name="Heading 3 2" xfId="127"/>
    <cellStyle name="Heading 4" xfId="128"/>
    <cellStyle name="Heading 4 2" xfId="129"/>
    <cellStyle name="Heading 5" xfId="130"/>
    <cellStyle name="Hed Side" xfId="131"/>
    <cellStyle name="Hed Side 2" xfId="132"/>
    <cellStyle name="Hed Side 2 2" xfId="133"/>
    <cellStyle name="Hed Side 3" xfId="134"/>
    <cellStyle name="Hed Side bold" xfId="135"/>
    <cellStyle name="Hed Side Indent" xfId="136"/>
    <cellStyle name="Hed Side Indent 2" xfId="137"/>
    <cellStyle name="Hed Side Regular" xfId="138"/>
    <cellStyle name="Hed Side Regular 2" xfId="139"/>
    <cellStyle name="Hed Side_1-1A-Regular" xfId="140"/>
    <cellStyle name="Hed Top" xfId="141"/>
    <cellStyle name="Hed Top - SECTION" xfId="142"/>
    <cellStyle name="Hed Top - SECTION 2" xfId="143"/>
    <cellStyle name="Hed Top_3-new4" xfId="144"/>
    <cellStyle name="Hyperlänk 2" xfId="145"/>
    <cellStyle name="Hyperlink 2" xfId="146"/>
    <cellStyle name="Hyperlink 2 2" xfId="147"/>
    <cellStyle name="Hyperlink 2 3" xfId="148"/>
    <cellStyle name="Hyperlink 3" xfId="149"/>
    <cellStyle name="Hyperlink 4" xfId="150"/>
    <cellStyle name="Hyperlink 5" xfId="151"/>
    <cellStyle name="Input" xfId="152"/>
    <cellStyle name="Input 2" xfId="153"/>
    <cellStyle name="Linked Cell" xfId="154"/>
    <cellStyle name="Linked Cell 2" xfId="155"/>
    <cellStyle name="Neutral" xfId="156"/>
    <cellStyle name="Neutral 2" xfId="157"/>
    <cellStyle name="Normal 10" xfId="158"/>
    <cellStyle name="Normal 11" xfId="159"/>
    <cellStyle name="Normal 11 2" xfId="160"/>
    <cellStyle name="Normal 12" xfId="161"/>
    <cellStyle name="Normal 13" xfId="162"/>
    <cellStyle name="Normal 14" xfId="163"/>
    <cellStyle name="Normal 15" xfId="164"/>
    <cellStyle name="Normal 16" xfId="165"/>
    <cellStyle name="Normal 17" xfId="166"/>
    <cellStyle name="Normal 18" xfId="167"/>
    <cellStyle name="Normal 2" xfId="168"/>
    <cellStyle name="Normal 2 2" xfId="169"/>
    <cellStyle name="Normal 2 3" xfId="170"/>
    <cellStyle name="Normal 2 3 2" xfId="171"/>
    <cellStyle name="Normal 2 4" xfId="172"/>
    <cellStyle name="Normal 2 5" xfId="173"/>
    <cellStyle name="Normal 3" xfId="174"/>
    <cellStyle name="Normal 3 2" xfId="175"/>
    <cellStyle name="Normal 3 2 2" xfId="176"/>
    <cellStyle name="Normal 3 2 2 2" xfId="177"/>
    <cellStyle name="Normal 3 2 3" xfId="178"/>
    <cellStyle name="Normal 3 3" xfId="179"/>
    <cellStyle name="Normal 3 3 2" xfId="180"/>
    <cellStyle name="Normal 3 3 2 2" xfId="181"/>
    <cellStyle name="Normal 3 3 3" xfId="182"/>
    <cellStyle name="Normal 3 4" xfId="183"/>
    <cellStyle name="Normal 3 4 2" xfId="184"/>
    <cellStyle name="Normal 3 5" xfId="185"/>
    <cellStyle name="Normal 3 6" xfId="186"/>
    <cellStyle name="Normal 3 7" xfId="187"/>
    <cellStyle name="Normal 3 8" xfId="188"/>
    <cellStyle name="Normal 4" xfId="189"/>
    <cellStyle name="Normal 4 2" xfId="190"/>
    <cellStyle name="Normal 4 2 2" xfId="191"/>
    <cellStyle name="Normal 4 2 2 2" xfId="192"/>
    <cellStyle name="Normal 4 2 3" xfId="193"/>
    <cellStyle name="Normal 4 2 4" xfId="194"/>
    <cellStyle name="Normal 4 3" xfId="195"/>
    <cellStyle name="Normal 4 3 2" xfId="196"/>
    <cellStyle name="Normal 4 3 2 2" xfId="197"/>
    <cellStyle name="Normal 4 3 3" xfId="198"/>
    <cellStyle name="Normal 4 4" xfId="199"/>
    <cellStyle name="Normal 4 4 2" xfId="200"/>
    <cellStyle name="Normal 4 5" xfId="201"/>
    <cellStyle name="Normal 4 6" xfId="202"/>
    <cellStyle name="Normal 4 7" xfId="203"/>
    <cellStyle name="Normal 4 8" xfId="204"/>
    <cellStyle name="Normal 4 9" xfId="205"/>
    <cellStyle name="Normal 5" xfId="206"/>
    <cellStyle name="Normal 5 2" xfId="207"/>
    <cellStyle name="Normal 5 2 2" xfId="208"/>
    <cellStyle name="Normal 5 3" xfId="209"/>
    <cellStyle name="Normal 5 4" xfId="210"/>
    <cellStyle name="Normal 5 5" xfId="211"/>
    <cellStyle name="Normal 6" xfId="212"/>
    <cellStyle name="Normal 6 2" xfId="213"/>
    <cellStyle name="Normal 6 3" xfId="214"/>
    <cellStyle name="Normal 6 4" xfId="215"/>
    <cellStyle name="Normal 7" xfId="216"/>
    <cellStyle name="Normal 7 2" xfId="217"/>
    <cellStyle name="Normal 7 2 2" xfId="218"/>
    <cellStyle name="Normal 7 3" xfId="219"/>
    <cellStyle name="Normal 7 4" xfId="220"/>
    <cellStyle name="Normal 8" xfId="221"/>
    <cellStyle name="Normal 8 2" xfId="222"/>
    <cellStyle name="Normal 8 3" xfId="223"/>
    <cellStyle name="Normal 8 4" xfId="224"/>
    <cellStyle name="Normal 9" xfId="225"/>
    <cellStyle name="Normal 9 2" xfId="226"/>
    <cellStyle name="Normalny 2" xfId="227"/>
    <cellStyle name="Normalny 3" xfId="228"/>
    <cellStyle name="Note" xfId="229"/>
    <cellStyle name="Note 2" xfId="230"/>
    <cellStyle name="Note 2 2" xfId="231"/>
    <cellStyle name="Note 3" xfId="232"/>
    <cellStyle name="Output" xfId="233"/>
    <cellStyle name="Output 2" xfId="234"/>
    <cellStyle name="Percent" xfId="235"/>
    <cellStyle name="Percent 2" xfId="236"/>
    <cellStyle name="Percent 2 2" xfId="237"/>
    <cellStyle name="Percent 2 3" xfId="238"/>
    <cellStyle name="Percent 3" xfId="239"/>
    <cellStyle name="Percent 3 2" xfId="240"/>
    <cellStyle name="Percent 3 3" xfId="241"/>
    <cellStyle name="Percent 4" xfId="242"/>
    <cellStyle name="Percent 5" xfId="243"/>
    <cellStyle name="Percent 6" xfId="244"/>
    <cellStyle name="Percent 7" xfId="245"/>
    <cellStyle name="Procent 2" xfId="246"/>
    <cellStyle name="Procent 3" xfId="247"/>
    <cellStyle name="Publication_style" xfId="248"/>
    <cellStyle name="Refdb standard" xfId="249"/>
    <cellStyle name="Refdb standard 2" xfId="250"/>
    <cellStyle name="Reference" xfId="251"/>
    <cellStyle name="Row heading" xfId="252"/>
    <cellStyle name="Row_Headings" xfId="253"/>
    <cellStyle name="Source" xfId="254"/>
    <cellStyle name="Source 2" xfId="255"/>
    <cellStyle name="Source Hed" xfId="256"/>
    <cellStyle name="Source Letter" xfId="257"/>
    <cellStyle name="Source Superscript" xfId="258"/>
    <cellStyle name="Source Superscript 2" xfId="259"/>
    <cellStyle name="Source Text" xfId="260"/>
    <cellStyle name="Source Text 2" xfId="261"/>
    <cellStyle name="Standard 2" xfId="262"/>
    <cellStyle name="Standard 2 2" xfId="263"/>
    <cellStyle name="Standard 3" xfId="264"/>
    <cellStyle name="Standard 5" xfId="265"/>
    <cellStyle name="Standard_02" xfId="266"/>
    <cellStyle name="State" xfId="267"/>
    <cellStyle name="Superscript" xfId="268"/>
    <cellStyle name="Superscript 2" xfId="269"/>
    <cellStyle name="Table Data" xfId="270"/>
    <cellStyle name="Table Head Top" xfId="271"/>
    <cellStyle name="Table Hed Side" xfId="272"/>
    <cellStyle name="Table Title" xfId="273"/>
    <cellStyle name="tableau | cellule | normal | decimal 1" xfId="274"/>
    <cellStyle name="tableau | cellule | normal | pourcentage | decimal 1" xfId="275"/>
    <cellStyle name="tableau | cellule | total | decimal 1" xfId="276"/>
    <cellStyle name="tableau | coin superieur gauche" xfId="277"/>
    <cellStyle name="tableau | entete-colonne | series" xfId="278"/>
    <cellStyle name="tableau | entete-ligne | normal" xfId="279"/>
    <cellStyle name="tableau | entete-ligne | total" xfId="280"/>
    <cellStyle name="tableau | ligne-titre | niveau1" xfId="281"/>
    <cellStyle name="tableau | ligne-titre | niveau2" xfId="282"/>
    <cellStyle name="Title" xfId="283"/>
    <cellStyle name="Title 2" xfId="284"/>
    <cellStyle name="Title 3" xfId="285"/>
    <cellStyle name="Title Text" xfId="286"/>
    <cellStyle name="Title Text 1" xfId="287"/>
    <cellStyle name="Title Text 2" xfId="288"/>
    <cellStyle name="Title-1" xfId="289"/>
    <cellStyle name="Title-2" xfId="290"/>
    <cellStyle name="Title-3" xfId="291"/>
    <cellStyle name="Titre ligne" xfId="292"/>
    <cellStyle name="Total" xfId="293"/>
    <cellStyle name="Total 2" xfId="294"/>
    <cellStyle name="Total intermediaire" xfId="295"/>
    <cellStyle name="Warning Text" xfId="296"/>
    <cellStyle name="Warning Text 2" xfId="297"/>
    <cellStyle name="Wrap" xfId="298"/>
    <cellStyle name="Wrap 2" xfId="299"/>
    <cellStyle name="Wrap Bold" xfId="300"/>
    <cellStyle name="Wrap Title" xfId="301"/>
    <cellStyle name="Wrap_NTS99-~11" xfId="3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1995 - 2016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passeng_graph!$C$36:$X$36</c:f>
              <c:numCache/>
            </c:numRef>
          </c:cat>
          <c:val>
            <c:numRef>
              <c:f>passeng_graph!$C$37:$X$37</c:f>
              <c:numCache/>
            </c:numRef>
          </c:val>
          <c:smooth val="0"/>
        </c:ser>
        <c:marker val="1"/>
        <c:axId val="39776584"/>
        <c:axId val="22444937"/>
      </c:lineChart>
      <c:lineChart>
        <c:grouping val="standard"/>
        <c:varyColors val="0"/>
        <c:ser>
          <c:idx val="0"/>
          <c:order val="1"/>
          <c:tx>
            <c:strRef>
              <c:f>passeng_graph!$B$39</c:f>
              <c:strCache>
                <c:ptCount val="1"/>
                <c:pt idx="0">
                  <c:v>Buses &amp; Coaches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passeng_graph!$C$36:$X$36</c:f>
              <c:numCache/>
            </c:numRef>
          </c:cat>
          <c:val>
            <c:numRef>
              <c:f>passeng_graph!$C$39:$X$39</c:f>
              <c:numCache/>
            </c:numRef>
          </c:val>
          <c:smooth val="0"/>
        </c:ser>
        <c:ser>
          <c:idx val="3"/>
          <c:order val="2"/>
          <c:tx>
            <c:strRef>
              <c:f>passeng_graph!$B$42</c:f>
              <c:strCache>
                <c:ptCount val="1"/>
                <c:pt idx="0">
                  <c:v>Air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passeng_graph!$C$36:$X$36</c:f>
              <c:numCache/>
            </c:numRef>
          </c:cat>
          <c:val>
            <c:numRef>
              <c:f>passeng_graph!$C$42:$X$42</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passeng_graph!$C$36:$X$36</c:f>
              <c:numCache/>
            </c:numRef>
          </c:cat>
          <c:val>
            <c:numRef>
              <c:f>passeng_graph!$C$40:$X$40</c:f>
              <c:numCache/>
            </c:numRef>
          </c:val>
          <c:smooth val="0"/>
        </c:ser>
        <c:ser>
          <c:idx val="6"/>
          <c:order val="4"/>
          <c:tx>
            <c:strRef>
              <c:f>passeng_graph!$B$38</c:f>
              <c:strCache>
                <c:ptCount val="1"/>
                <c:pt idx="0">
                  <c:v>Powered 2-wheelers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passeng_graph!$C$36:$X$36</c:f>
              <c:numCache/>
            </c:numRef>
          </c:cat>
          <c:val>
            <c:numRef>
              <c:f>passeng_graph!$C$38:$X$38</c:f>
              <c:numCache/>
            </c:numRef>
          </c:val>
          <c:smooth val="0"/>
        </c:ser>
        <c:ser>
          <c:idx val="2"/>
          <c:order val="5"/>
          <c:tx>
            <c:strRef>
              <c:f>passeng_graph!$B$41</c:f>
              <c:strCache>
                <c:ptCount val="1"/>
                <c:pt idx="0">
                  <c:v>Tram &amp; Metro</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passeng_graph!$C$36:$X$36</c:f>
              <c:numCache/>
            </c:numRef>
          </c:cat>
          <c:val>
            <c:numRef>
              <c:f>passeng_graph!$C$41:$X$41</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passeng_graph!$C$36:$X$36</c:f>
              <c:numCache/>
            </c:numRef>
          </c:cat>
          <c:val>
            <c:numRef>
              <c:f>passeng_graph!$C$43:$X$43</c:f>
              <c:numCache/>
            </c:numRef>
          </c:val>
          <c:smooth val="0"/>
        </c:ser>
        <c:marker val="1"/>
        <c:axId val="677842"/>
        <c:axId val="6100579"/>
      </c:lineChart>
      <c:catAx>
        <c:axId val="3977658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2444937"/>
        <c:crosses val="autoZero"/>
        <c:auto val="0"/>
        <c:lblOffset val="100"/>
        <c:tickLblSkip val="1"/>
        <c:noMultiLvlLbl val="0"/>
      </c:catAx>
      <c:valAx>
        <c:axId val="22444937"/>
        <c:scaling>
          <c:orientation val="minMax"/>
          <c:max val="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25"/>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776584"/>
        <c:crossesAt val="1"/>
        <c:crossBetween val="midCat"/>
        <c:dispUnits/>
      </c:valAx>
      <c:catAx>
        <c:axId val="677842"/>
        <c:scaling>
          <c:orientation val="minMax"/>
        </c:scaling>
        <c:axPos val="b"/>
        <c:delete val="1"/>
        <c:majorTickMark val="out"/>
        <c:minorTickMark val="none"/>
        <c:tickLblPos val="nextTo"/>
        <c:crossAx val="6100579"/>
        <c:crosses val="autoZero"/>
        <c:auto val="0"/>
        <c:lblOffset val="100"/>
        <c:tickLblSkip val="1"/>
        <c:noMultiLvlLbl val="0"/>
      </c:catAx>
      <c:valAx>
        <c:axId val="6100579"/>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77842"/>
        <c:crosses val="max"/>
        <c:crossBetween val="midCat"/>
        <c:dispUnits/>
      </c:valAx>
      <c:spPr>
        <a:solidFill>
          <a:srgbClr val="FFFFFF"/>
        </a:solidFill>
        <a:ln w="12700">
          <a:solidFill>
            <a:srgbClr val="808080"/>
          </a:solidFill>
        </a:ln>
      </c:spPr>
    </c:plotArea>
    <c:legend>
      <c:legendPos val="b"/>
      <c:layout>
        <c:manualLayout>
          <c:xMode val="edge"/>
          <c:yMode val="edge"/>
          <c:x val="0.02925"/>
          <c:y val="0.92125"/>
          <c:w val="0.94"/>
          <c:h val="0.07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59"/>
  <sheetViews>
    <sheetView zoomScalePageLayoutView="0" workbookViewId="0" topLeftCell="A1">
      <selection activeCell="B9" sqref="B9"/>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05" t="s">
        <v>55</v>
      </c>
      <c r="C1" s="505"/>
      <c r="D1" s="505"/>
      <c r="E1" s="505"/>
    </row>
    <row r="2" spans="2:5" ht="19.5" customHeight="1">
      <c r="B2" s="506" t="s">
        <v>56</v>
      </c>
      <c r="C2" s="506"/>
      <c r="D2" s="506"/>
      <c r="E2" s="506"/>
    </row>
    <row r="3" spans="2:5" ht="19.5" customHeight="1">
      <c r="B3" s="507" t="s">
        <v>94</v>
      </c>
      <c r="C3" s="507"/>
      <c r="D3" s="507"/>
      <c r="E3" s="507"/>
    </row>
    <row r="4" spans="2:5" ht="19.5" customHeight="1">
      <c r="B4" s="508" t="s">
        <v>58</v>
      </c>
      <c r="C4" s="508"/>
      <c r="D4" s="508"/>
      <c r="E4" s="508"/>
    </row>
    <row r="5" spans="2:5" ht="19.5" customHeight="1">
      <c r="B5" s="50"/>
      <c r="C5" s="50"/>
      <c r="D5" s="50"/>
      <c r="E5" s="50"/>
    </row>
    <row r="6" ht="19.5" customHeight="1"/>
    <row r="7" spans="2:5" ht="19.5" customHeight="1">
      <c r="B7" s="505" t="s">
        <v>95</v>
      </c>
      <c r="C7" s="505"/>
      <c r="D7" s="505"/>
      <c r="E7" s="505"/>
    </row>
    <row r="8" spans="2:5" ht="19.5" customHeight="1">
      <c r="B8" s="503">
        <v>2018</v>
      </c>
      <c r="C8" s="504"/>
      <c r="D8" s="504"/>
      <c r="E8" s="504"/>
    </row>
    <row r="9" spans="2:5" ht="19.5" customHeight="1">
      <c r="B9" s="51"/>
      <c r="C9" s="51"/>
      <c r="D9" s="51"/>
      <c r="E9" s="51"/>
    </row>
    <row r="10" spans="2:5" ht="19.5" customHeight="1">
      <c r="B10" s="501" t="s">
        <v>97</v>
      </c>
      <c r="C10" s="501"/>
      <c r="D10" s="501"/>
      <c r="E10" s="501"/>
    </row>
    <row r="11" spans="2:5" ht="19.5" customHeight="1">
      <c r="B11" s="5"/>
      <c r="E11" s="5"/>
    </row>
    <row r="12" spans="2:5" ht="19.5" customHeight="1">
      <c r="B12" s="502" t="s">
        <v>96</v>
      </c>
      <c r="C12" s="502"/>
      <c r="D12" s="502"/>
      <c r="E12" s="502"/>
    </row>
    <row r="13" spans="2:5" ht="19.5" customHeight="1">
      <c r="B13" s="502" t="s">
        <v>62</v>
      </c>
      <c r="C13" s="502"/>
      <c r="D13" s="502"/>
      <c r="E13" s="502"/>
    </row>
    <row r="14" spans="2:5" ht="19.5" customHeight="1">
      <c r="B14" s="502" t="s">
        <v>63</v>
      </c>
      <c r="C14" s="502"/>
      <c r="D14" s="502"/>
      <c r="E14" s="502"/>
    </row>
    <row r="15" spans="2:5" ht="19.5" customHeight="1">
      <c r="B15" s="5"/>
      <c r="D15"/>
      <c r="E15" s="5"/>
    </row>
    <row r="16" spans="2:5" ht="19.5" customHeight="1">
      <c r="B16" s="5"/>
      <c r="E16" s="5"/>
    </row>
    <row r="17" spans="2:5" ht="15" customHeight="1">
      <c r="B17" s="52" t="s">
        <v>84</v>
      </c>
      <c r="C17" s="53"/>
      <c r="D17" s="54" t="s">
        <v>57</v>
      </c>
      <c r="E17" s="5"/>
    </row>
    <row r="18" spans="2:5" ht="15" customHeight="1">
      <c r="B18" s="52" t="s">
        <v>87</v>
      </c>
      <c r="C18" s="53"/>
      <c r="D18" s="54" t="s">
        <v>59</v>
      </c>
      <c r="E18" s="5"/>
    </row>
    <row r="19" spans="2:5" ht="15" customHeight="1">
      <c r="B19" s="52" t="s">
        <v>86</v>
      </c>
      <c r="C19" s="53"/>
      <c r="D19" s="54" t="s">
        <v>60</v>
      </c>
      <c r="E19" s="5"/>
    </row>
    <row r="20" spans="2:5" ht="15" customHeight="1">
      <c r="B20" s="52" t="s">
        <v>88</v>
      </c>
      <c r="C20" s="53"/>
      <c r="D20" s="56" t="s">
        <v>45</v>
      </c>
      <c r="E20" s="5"/>
    </row>
    <row r="21" spans="2:5" ht="15" customHeight="1">
      <c r="B21" s="52" t="s">
        <v>89</v>
      </c>
      <c r="C21" s="53"/>
      <c r="D21" s="56" t="s">
        <v>46</v>
      </c>
      <c r="E21" s="5"/>
    </row>
    <row r="22" spans="2:4" ht="15" customHeight="1">
      <c r="B22" s="52" t="s">
        <v>90</v>
      </c>
      <c r="C22" s="55"/>
      <c r="D22" s="56" t="s">
        <v>1</v>
      </c>
    </row>
    <row r="23" spans="2:5" ht="15" customHeight="1">
      <c r="B23" s="52" t="s">
        <v>91</v>
      </c>
      <c r="C23" s="55"/>
      <c r="D23" s="56" t="s">
        <v>47</v>
      </c>
      <c r="E23"/>
    </row>
    <row r="24" spans="2:5" ht="15" customHeight="1">
      <c r="B24" s="52" t="s">
        <v>92</v>
      </c>
      <c r="C24" s="55"/>
      <c r="D24" s="54" t="s">
        <v>75</v>
      </c>
      <c r="E24" s="5"/>
    </row>
    <row r="25" spans="2:5" ht="15" customHeight="1">
      <c r="B25" s="52" t="s">
        <v>93</v>
      </c>
      <c r="C25" s="68"/>
      <c r="D25" s="54" t="s">
        <v>76</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1"/>
      <c r="D49" s="12"/>
    </row>
    <row r="56" ht="12.75"/>
    <row r="59" spans="3:5" ht="12.75">
      <c r="C59"/>
      <c r="D59"/>
      <c r="E59"/>
    </row>
  </sheetData>
  <sheetProtection/>
  <mergeCells count="10">
    <mergeCell ref="B10:E10"/>
    <mergeCell ref="B12:E12"/>
    <mergeCell ref="B13:E13"/>
    <mergeCell ref="B14:E14"/>
    <mergeCell ref="B8:E8"/>
    <mergeCell ref="B1:E1"/>
    <mergeCell ref="B2:E2"/>
    <mergeCell ref="B3:E3"/>
    <mergeCell ref="B4:E4"/>
    <mergeCell ref="B7:E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86"/>
  <sheetViews>
    <sheetView zoomScalePageLayoutView="0" workbookViewId="0" topLeftCell="A10">
      <selection activeCell="M10" sqref="M10"/>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69"/>
      <c r="C1" s="69"/>
      <c r="D1" s="69"/>
      <c r="E1" s="69"/>
      <c r="F1" s="69"/>
      <c r="G1" s="69"/>
      <c r="H1" s="70"/>
      <c r="I1" s="63" t="s">
        <v>93</v>
      </c>
    </row>
    <row r="2" spans="2:9" s="19" customFormat="1" ht="30" customHeight="1">
      <c r="B2" s="542" t="s">
        <v>64</v>
      </c>
      <c r="C2" s="542"/>
      <c r="D2" s="542"/>
      <c r="E2" s="542"/>
      <c r="F2" s="542"/>
      <c r="G2" s="542"/>
      <c r="H2" s="542"/>
      <c r="I2" s="542"/>
    </row>
    <row r="3" spans="2:9" ht="15" customHeight="1">
      <c r="B3" s="543" t="s">
        <v>65</v>
      </c>
      <c r="C3" s="543"/>
      <c r="D3" s="543"/>
      <c r="E3" s="543"/>
      <c r="F3" s="543"/>
      <c r="G3" s="543"/>
      <c r="H3" s="543"/>
      <c r="I3" s="543"/>
    </row>
    <row r="4" spans="2:9" ht="12" customHeight="1">
      <c r="B4" s="544" t="s">
        <v>108</v>
      </c>
      <c r="C4" s="545"/>
      <c r="D4" s="545"/>
      <c r="E4" s="545"/>
      <c r="F4" s="545"/>
      <c r="G4" s="545"/>
      <c r="H4" s="545"/>
      <c r="I4" s="545"/>
    </row>
    <row r="5" spans="2:9" ht="12.75" customHeight="1">
      <c r="B5" s="29"/>
      <c r="C5" s="535" t="s">
        <v>66</v>
      </c>
      <c r="D5" s="535" t="s">
        <v>67</v>
      </c>
      <c r="E5" s="537" t="s">
        <v>68</v>
      </c>
      <c r="F5" s="537" t="s">
        <v>69</v>
      </c>
      <c r="G5" s="535" t="s">
        <v>70</v>
      </c>
      <c r="H5" s="537" t="s">
        <v>49</v>
      </c>
      <c r="I5" s="537" t="s">
        <v>50</v>
      </c>
    </row>
    <row r="6" spans="2:9" ht="22.5" customHeight="1">
      <c r="B6" s="29"/>
      <c r="C6" s="536"/>
      <c r="D6" s="536"/>
      <c r="E6" s="538"/>
      <c r="F6" s="538"/>
      <c r="G6" s="536"/>
      <c r="H6" s="538"/>
      <c r="I6" s="538"/>
    </row>
    <row r="7" spans="2:9" ht="15" customHeight="1">
      <c r="B7" s="71">
        <v>1990</v>
      </c>
      <c r="C7" s="368">
        <v>5280.49014983424</v>
      </c>
      <c r="D7" s="369">
        <v>19.9946507904</v>
      </c>
      <c r="E7" s="369">
        <v>28.215019008000002</v>
      </c>
      <c r="F7" s="369">
        <v>195.681746304</v>
      </c>
      <c r="G7" s="369">
        <v>12.316309632000001</v>
      </c>
      <c r="H7" s="370">
        <v>556.6285568448</v>
      </c>
      <c r="I7" s="371">
        <f aca="true" t="shared" si="0" ref="I7:I26">SUM(C7:H7)</f>
        <v>6093.32643241344</v>
      </c>
    </row>
    <row r="8" spans="2:9" ht="18.75" customHeight="1">
      <c r="B8" s="73">
        <v>1995</v>
      </c>
      <c r="C8" s="372">
        <v>5701.9589003520005</v>
      </c>
      <c r="D8" s="373">
        <v>17.343900288</v>
      </c>
      <c r="E8" s="373">
        <v>25.916875776</v>
      </c>
      <c r="F8" s="373">
        <v>219.33910310400003</v>
      </c>
      <c r="G8" s="373">
        <v>14.651467776</v>
      </c>
      <c r="H8" s="374">
        <v>650.0328001136642</v>
      </c>
      <c r="I8" s="375">
        <f t="shared" si="0"/>
        <v>6629.2430474096645</v>
      </c>
    </row>
    <row r="9" spans="2:9" ht="22.5" customHeight="1">
      <c r="B9" s="73">
        <v>1996</v>
      </c>
      <c r="C9" s="372">
        <v>5850.556069248</v>
      </c>
      <c r="D9" s="373">
        <v>17.561161728000002</v>
      </c>
      <c r="E9" s="373">
        <v>26.683278058483204</v>
      </c>
      <c r="F9" s="373">
        <v>224.2140695296128</v>
      </c>
      <c r="G9" s="373">
        <v>14.9759861999616</v>
      </c>
      <c r="H9" s="374">
        <v>699.504084563328</v>
      </c>
      <c r="I9" s="375">
        <f t="shared" si="0"/>
        <v>6833.494649327386</v>
      </c>
    </row>
    <row r="10" spans="2:9" ht="21" customHeight="1">
      <c r="B10" s="73">
        <v>1997</v>
      </c>
      <c r="C10" s="372">
        <v>6021.74681856</v>
      </c>
      <c r="D10" s="373">
        <v>17.846015616</v>
      </c>
      <c r="E10" s="373">
        <v>27.716231159654402</v>
      </c>
      <c r="F10" s="373">
        <v>233.7558807997037</v>
      </c>
      <c r="G10" s="373">
        <v>14.582578245016322</v>
      </c>
      <c r="H10" s="374">
        <v>725.2879544951041</v>
      </c>
      <c r="I10" s="375">
        <f t="shared" si="0"/>
        <v>7040.935478875479</v>
      </c>
    </row>
    <row r="11" spans="2:9" ht="12.75" customHeight="1">
      <c r="B11" s="73">
        <v>1998</v>
      </c>
      <c r="C11" s="372">
        <v>6186.937933440001</v>
      </c>
      <c r="D11" s="373">
        <v>18.203289984</v>
      </c>
      <c r="E11" s="373">
        <v>28.30575755961677</v>
      </c>
      <c r="F11" s="373">
        <v>239.37337062962612</v>
      </c>
      <c r="G11" s="373">
        <v>15.79991311900109</v>
      </c>
      <c r="H11" s="374">
        <v>744.7295767507201</v>
      </c>
      <c r="I11" s="375">
        <f t="shared" si="0"/>
        <v>7233.349841482965</v>
      </c>
    </row>
    <row r="12" spans="2:9" ht="12.75" customHeight="1" thickBot="1">
      <c r="B12" s="74">
        <v>1999</v>
      </c>
      <c r="C12" s="372">
        <v>6320.69051328</v>
      </c>
      <c r="D12" s="373">
        <v>18.735982848</v>
      </c>
      <c r="E12" s="373">
        <v>29.34165086629287</v>
      </c>
      <c r="F12" s="373">
        <v>261.72939412338053</v>
      </c>
      <c r="G12" s="373">
        <v>16.01970877368576</v>
      </c>
      <c r="H12" s="374">
        <v>785.2626354355201</v>
      </c>
      <c r="I12" s="375">
        <f t="shared" si="0"/>
        <v>7431.77988532688</v>
      </c>
    </row>
    <row r="13" spans="2:9" ht="12.75" customHeight="1" thickTop="1">
      <c r="B13" s="74">
        <v>2000</v>
      </c>
      <c r="C13" s="376">
        <v>6372.183677708306</v>
      </c>
      <c r="D13" s="377">
        <v>24.88507052358363</v>
      </c>
      <c r="E13" s="373">
        <v>31.127146408828796</v>
      </c>
      <c r="F13" s="377">
        <v>505.47695196535153</v>
      </c>
      <c r="G13" s="373">
        <v>17.28323567645875</v>
      </c>
      <c r="H13" s="374">
        <v>834.602616726912</v>
      </c>
      <c r="I13" s="375">
        <f t="shared" si="0"/>
        <v>7785.558699009441</v>
      </c>
    </row>
    <row r="14" spans="2:9" ht="12.75" customHeight="1">
      <c r="B14" s="74">
        <v>2001</v>
      </c>
      <c r="C14" s="372">
        <v>6481.238739449875</v>
      </c>
      <c r="D14" s="373">
        <v>22.728754903041427</v>
      </c>
      <c r="E14" s="373">
        <v>31.763769898848775</v>
      </c>
      <c r="F14" s="373">
        <v>443.24298759236666</v>
      </c>
      <c r="G14" s="373">
        <v>17.65590302713882</v>
      </c>
      <c r="H14" s="374">
        <v>782.955581265792</v>
      </c>
      <c r="I14" s="375">
        <f t="shared" si="0"/>
        <v>7779.585736137063</v>
      </c>
    </row>
    <row r="15" spans="2:9" ht="12.75" customHeight="1">
      <c r="B15" s="74">
        <v>2002</v>
      </c>
      <c r="C15" s="372">
        <v>6626.440066457998</v>
      </c>
      <c r="D15" s="373">
        <v>22.83165450805606</v>
      </c>
      <c r="E15" s="373">
        <v>30.788721081702143</v>
      </c>
      <c r="F15" s="373">
        <v>455.32583778822084</v>
      </c>
      <c r="G15" s="373">
        <v>17.59254593158656</v>
      </c>
      <c r="H15" s="374">
        <v>778.2336621671041</v>
      </c>
      <c r="I15" s="375">
        <f t="shared" si="0"/>
        <v>7931.212487934668</v>
      </c>
    </row>
    <row r="16" spans="2:9" ht="12.75" customHeight="1">
      <c r="B16" s="74">
        <v>2003</v>
      </c>
      <c r="C16" s="372">
        <v>6688.950233458911</v>
      </c>
      <c r="D16" s="373">
        <v>23.26674852735229</v>
      </c>
      <c r="E16" s="373">
        <v>31.038014883756674</v>
      </c>
      <c r="F16" s="373">
        <v>456.85279000457354</v>
      </c>
      <c r="G16" s="373">
        <v>17.753342758424065</v>
      </c>
      <c r="H16" s="374">
        <v>813.6464116200838</v>
      </c>
      <c r="I16" s="375">
        <f t="shared" si="0"/>
        <v>8031.507541253101</v>
      </c>
    </row>
    <row r="17" spans="2:9" ht="12.75" customHeight="1">
      <c r="B17" s="74">
        <v>2004</v>
      </c>
      <c r="C17" s="372">
        <v>6884.480646151083</v>
      </c>
      <c r="D17" s="373">
        <v>30.60738838731782</v>
      </c>
      <c r="E17" s="373">
        <v>31.9698818229289</v>
      </c>
      <c r="F17" s="373">
        <v>461.6996210083197</v>
      </c>
      <c r="G17" s="373">
        <v>18.17187003205517</v>
      </c>
      <c r="H17" s="374">
        <v>898.2816373193035</v>
      </c>
      <c r="I17" s="375">
        <f t="shared" si="0"/>
        <v>8325.211044721009</v>
      </c>
    </row>
    <row r="18" spans="2:9" ht="12.75" customHeight="1">
      <c r="B18" s="74">
        <v>2005</v>
      </c>
      <c r="C18" s="372">
        <v>6952.354053415923</v>
      </c>
      <c r="D18" s="373">
        <v>28.15017241567654</v>
      </c>
      <c r="E18" s="373">
        <v>31.863280678834176</v>
      </c>
      <c r="F18" s="373">
        <v>449.0658366660695</v>
      </c>
      <c r="G18" s="373">
        <v>17.975917190145026</v>
      </c>
      <c r="H18" s="374">
        <v>939.4673057823907</v>
      </c>
      <c r="I18" s="375">
        <f t="shared" si="0"/>
        <v>8418.87656614904</v>
      </c>
    </row>
    <row r="19" spans="2:9" ht="12.75" customHeight="1">
      <c r="B19" s="74">
        <v>2006</v>
      </c>
      <c r="C19" s="372">
        <v>6972.425852747509</v>
      </c>
      <c r="D19" s="373">
        <v>39.15399929015146</v>
      </c>
      <c r="E19" s="373">
        <v>32.398135356926595</v>
      </c>
      <c r="F19" s="373">
        <v>479.2545384461696</v>
      </c>
      <c r="G19" s="373">
        <v>19.673661797843334</v>
      </c>
      <c r="H19" s="374">
        <v>947.0262809709378</v>
      </c>
      <c r="I19" s="375">
        <f t="shared" si="0"/>
        <v>8489.932468609539</v>
      </c>
    </row>
    <row r="20" spans="2:9" ht="12.75" customHeight="1">
      <c r="B20" s="74">
        <v>2007</v>
      </c>
      <c r="C20" s="372">
        <v>6987.746520530769</v>
      </c>
      <c r="D20" s="373">
        <v>43.730951230767076</v>
      </c>
      <c r="E20" s="373">
        <v>35.28036516798605</v>
      </c>
      <c r="F20" s="373">
        <v>495.530422931277</v>
      </c>
      <c r="G20" s="373">
        <v>21.0294852147072</v>
      </c>
      <c r="H20" s="374">
        <v>977.7584106714506</v>
      </c>
      <c r="I20" s="375">
        <f t="shared" si="0"/>
        <v>8561.076155746958</v>
      </c>
    </row>
    <row r="21" spans="2:9" ht="12.75" customHeight="1">
      <c r="B21" s="74">
        <v>2008</v>
      </c>
      <c r="C21" s="372">
        <v>6837.752722219089</v>
      </c>
      <c r="D21" s="373">
        <v>42.53431488319994</v>
      </c>
      <c r="E21" s="373">
        <v>37.0606588906752</v>
      </c>
      <c r="F21" s="373">
        <v>506.040168890055</v>
      </c>
      <c r="G21" s="373">
        <v>21.103427812262403</v>
      </c>
      <c r="H21" s="374">
        <v>938.6990673848537</v>
      </c>
      <c r="I21" s="375">
        <f t="shared" si="0"/>
        <v>8383.190360080134</v>
      </c>
    </row>
    <row r="22" spans="2:9" ht="12.75" customHeight="1">
      <c r="B22" s="73">
        <v>2009</v>
      </c>
      <c r="C22" s="372">
        <v>5834.833662900259</v>
      </c>
      <c r="D22" s="373">
        <v>36.09400665364741</v>
      </c>
      <c r="E22" s="373">
        <v>36.5630179204097</v>
      </c>
      <c r="F22" s="373">
        <v>491.143556130298</v>
      </c>
      <c r="G22" s="373">
        <v>21.445372166385027</v>
      </c>
      <c r="H22" s="374">
        <v>887.9259052506333</v>
      </c>
      <c r="I22" s="375">
        <f>SUM(C22:H22)</f>
        <v>7308.005521021632</v>
      </c>
    </row>
    <row r="23" spans="2:9" ht="12.75" customHeight="1">
      <c r="B23" s="73">
        <v>2010</v>
      </c>
      <c r="C23" s="372">
        <v>5866.650507017761</v>
      </c>
      <c r="D23" s="373">
        <v>32.00293535676131</v>
      </c>
      <c r="E23" s="373">
        <v>36.7359227932815</v>
      </c>
      <c r="F23" s="373">
        <v>470.045796484291</v>
      </c>
      <c r="G23" s="373">
        <v>20.83534385684083</v>
      </c>
      <c r="H23" s="374">
        <v>908.787987192869</v>
      </c>
      <c r="I23" s="375">
        <f>SUM(C23:H23)</f>
        <v>7335.058492701804</v>
      </c>
    </row>
    <row r="24" spans="2:9" ht="15" customHeight="1">
      <c r="B24" s="73">
        <v>2011</v>
      </c>
      <c r="C24" s="372">
        <v>5874.464372590848</v>
      </c>
      <c r="D24" s="373">
        <v>32.06890961784315</v>
      </c>
      <c r="E24" s="373">
        <v>38.438300076321</v>
      </c>
      <c r="F24" s="373">
        <v>471.33827612158</v>
      </c>
      <c r="G24" s="373">
        <v>22.01205891079642</v>
      </c>
      <c r="H24" s="374">
        <v>926.35931077272</v>
      </c>
      <c r="I24" s="375">
        <f t="shared" si="0"/>
        <v>7364.681228090109</v>
      </c>
    </row>
    <row r="25" spans="2:9" ht="15" customHeight="1">
      <c r="B25" s="73">
        <v>2012</v>
      </c>
      <c r="C25" s="373">
        <v>5905.1310306602645</v>
      </c>
      <c r="D25" s="373">
        <v>37.07041130329425</v>
      </c>
      <c r="E25" s="373">
        <v>39.0569527863314</v>
      </c>
      <c r="F25" s="373">
        <v>504.560165698746</v>
      </c>
      <c r="G25" s="373">
        <v>21.90233462062694</v>
      </c>
      <c r="H25" s="373">
        <v>934.226461583813</v>
      </c>
      <c r="I25" s="375">
        <f t="shared" si="0"/>
        <v>7441.947356653077</v>
      </c>
    </row>
    <row r="26" spans="2:9" ht="15" customHeight="1">
      <c r="B26" s="73">
        <v>2013</v>
      </c>
      <c r="C26" s="373">
        <v>5935.51917927877</v>
      </c>
      <c r="D26" s="373">
        <v>35.3037908440235</v>
      </c>
      <c r="E26" s="399">
        <f>28.976+11.721</f>
        <v>40.697</v>
      </c>
      <c r="F26" s="373">
        <v>517.71779237096</v>
      </c>
      <c r="G26" s="373">
        <v>23.013916104655873</v>
      </c>
      <c r="H26" s="373">
        <v>949.017888427898</v>
      </c>
      <c r="I26" s="375">
        <f t="shared" si="0"/>
        <v>7501.269567026307</v>
      </c>
    </row>
    <row r="27" spans="2:9" ht="15" customHeight="1">
      <c r="B27" s="74">
        <v>2014</v>
      </c>
      <c r="C27" s="372">
        <v>6005.89228959007</v>
      </c>
      <c r="D27" s="373">
        <v>34.6164559724936</v>
      </c>
      <c r="E27" s="399">
        <v>40.2556970994013</v>
      </c>
      <c r="F27" s="373">
        <v>546.105943021662</v>
      </c>
      <c r="G27" s="373">
        <v>22.9723680117888</v>
      </c>
      <c r="H27" s="374">
        <v>978.113666465021</v>
      </c>
      <c r="I27" s="375">
        <f>SUM(C27:H27)</f>
        <v>7627.956420160436</v>
      </c>
    </row>
    <row r="28" spans="2:9" ht="15" customHeight="1">
      <c r="B28" s="74">
        <v>2015</v>
      </c>
      <c r="C28" s="372">
        <f>4802.569+1358.485</f>
        <v>6161.054</v>
      </c>
      <c r="D28" s="373">
        <v>33.987</v>
      </c>
      <c r="E28" s="399">
        <v>40.1311602573869</v>
      </c>
      <c r="F28" s="399">
        <v>553.968959017371</v>
      </c>
      <c r="G28" s="399">
        <v>23.1801903659843</v>
      </c>
      <c r="H28" s="487">
        <v>1033.04663045084</v>
      </c>
      <c r="I28" s="493">
        <f>SUM(C28:H28)</f>
        <v>7845.367940091583</v>
      </c>
    </row>
    <row r="29" spans="2:9" ht="17.25" customHeight="1">
      <c r="B29" s="488">
        <v>2016</v>
      </c>
      <c r="C29" s="489">
        <v>6315.385482923801</v>
      </c>
      <c r="D29" s="490">
        <v>35.440950610758</v>
      </c>
      <c r="E29" s="492">
        <v>40.2241179994284</v>
      </c>
      <c r="F29" s="492">
        <v>558.063610269055</v>
      </c>
      <c r="G29" s="492">
        <v>23.5190272892763</v>
      </c>
      <c r="H29" s="491">
        <v>1078.96358219794</v>
      </c>
      <c r="I29" s="494">
        <f>SUM(C29:H29)</f>
        <v>8051.5967712902575</v>
      </c>
    </row>
    <row r="30" spans="2:9" ht="12.75" customHeight="1">
      <c r="B30" s="486" t="s">
        <v>143</v>
      </c>
      <c r="C30" s="75"/>
      <c r="D30" s="75"/>
      <c r="E30" s="75"/>
      <c r="F30" s="75"/>
      <c r="G30" s="76"/>
      <c r="H30" s="76"/>
      <c r="I30" s="76"/>
    </row>
    <row r="31" spans="2:9" ht="15" customHeight="1">
      <c r="B31" s="547" t="s">
        <v>52</v>
      </c>
      <c r="C31" s="547"/>
      <c r="D31" s="77"/>
      <c r="E31" s="10"/>
      <c r="F31" s="10"/>
      <c r="G31" s="10"/>
      <c r="H31" s="10"/>
      <c r="I31" s="10"/>
    </row>
    <row r="32" spans="2:9" ht="15" customHeight="1">
      <c r="B32" s="546" t="s">
        <v>100</v>
      </c>
      <c r="C32" s="546"/>
      <c r="D32" s="546"/>
      <c r="E32" s="546"/>
      <c r="F32" s="546"/>
      <c r="G32" s="546"/>
      <c r="H32" s="546"/>
      <c r="I32" s="546"/>
    </row>
    <row r="33" spans="2:9" ht="12" customHeight="1">
      <c r="B33" s="548"/>
      <c r="C33" s="546"/>
      <c r="D33" s="546"/>
      <c r="E33" s="546"/>
      <c r="F33" s="546"/>
      <c r="G33" s="546"/>
      <c r="H33" s="546"/>
      <c r="I33" s="546"/>
    </row>
    <row r="34" spans="2:9" ht="12.75" customHeight="1">
      <c r="B34" s="78"/>
      <c r="C34" s="76"/>
      <c r="D34" s="76"/>
      <c r="E34" s="79"/>
      <c r="F34" s="79"/>
      <c r="G34" s="79"/>
      <c r="H34" s="79"/>
      <c r="I34" s="79"/>
    </row>
    <row r="35" spans="2:9" ht="23.25" customHeight="1">
      <c r="B35" s="540" t="s">
        <v>71</v>
      </c>
      <c r="C35" s="540"/>
      <c r="D35" s="540"/>
      <c r="E35" s="540"/>
      <c r="F35" s="540"/>
      <c r="G35" s="540"/>
      <c r="H35" s="540"/>
      <c r="I35" s="540"/>
    </row>
    <row r="36" spans="2:9" ht="9.75" customHeight="1">
      <c r="B36" s="544" t="s">
        <v>72</v>
      </c>
      <c r="C36" s="544"/>
      <c r="D36" s="544"/>
      <c r="E36" s="544"/>
      <c r="F36" s="544"/>
      <c r="G36" s="544"/>
      <c r="H36" s="544"/>
      <c r="I36" s="544"/>
    </row>
    <row r="37" spans="2:9" ht="9.75" customHeight="1">
      <c r="B37" s="29"/>
      <c r="C37" s="535" t="s">
        <v>66</v>
      </c>
      <c r="D37" s="535" t="s">
        <v>67</v>
      </c>
      <c r="E37" s="537" t="s">
        <v>68</v>
      </c>
      <c r="F37" s="537" t="s">
        <v>69</v>
      </c>
      <c r="G37" s="535" t="s">
        <v>70</v>
      </c>
      <c r="H37" s="537" t="s">
        <v>49</v>
      </c>
      <c r="I37" s="537" t="s">
        <v>50</v>
      </c>
    </row>
    <row r="38" spans="2:9" ht="9.75" customHeight="1">
      <c r="B38" s="29"/>
      <c r="C38" s="536"/>
      <c r="D38" s="536"/>
      <c r="E38" s="538"/>
      <c r="F38" s="538"/>
      <c r="G38" s="536"/>
      <c r="H38" s="538"/>
      <c r="I38" s="538"/>
    </row>
    <row r="39" spans="2:9" ht="9.75" customHeight="1">
      <c r="B39" s="71">
        <v>2001</v>
      </c>
      <c r="C39" s="64">
        <f aca="true" t="shared" si="1" ref="C39:I39">100*(C14/C13-1)</f>
        <v>1.7114237011571776</v>
      </c>
      <c r="D39" s="65">
        <f t="shared" si="1"/>
        <v>-8.665097486859274</v>
      </c>
      <c r="E39" s="65">
        <f t="shared" si="1"/>
        <v>2.045235633419362</v>
      </c>
      <c r="F39" s="65">
        <f t="shared" si="1"/>
        <v>-12.311929185101755</v>
      </c>
      <c r="G39" s="65">
        <f t="shared" si="1"/>
        <v>2.1562360061297525</v>
      </c>
      <c r="H39" s="66">
        <f t="shared" si="1"/>
        <v>-6.1882187314084565</v>
      </c>
      <c r="I39" s="67">
        <f t="shared" si="1"/>
        <v>-0.07671848743672216</v>
      </c>
    </row>
    <row r="40" spans="2:9" ht="9.75" customHeight="1">
      <c r="B40" s="73">
        <v>2001</v>
      </c>
      <c r="C40" s="64">
        <f aca="true" t="shared" si="2" ref="C40:I52">100*(C14/C13-1)</f>
        <v>1.7114237011571776</v>
      </c>
      <c r="D40" s="65">
        <f t="shared" si="2"/>
        <v>-8.665097486859274</v>
      </c>
      <c r="E40" s="65">
        <f t="shared" si="2"/>
        <v>2.045235633419362</v>
      </c>
      <c r="F40" s="65">
        <f t="shared" si="2"/>
        <v>-12.311929185101755</v>
      </c>
      <c r="G40" s="65">
        <f t="shared" si="2"/>
        <v>2.1562360061297525</v>
      </c>
      <c r="H40" s="66">
        <f t="shared" si="2"/>
        <v>-6.1882187314084565</v>
      </c>
      <c r="I40" s="67">
        <f t="shared" si="2"/>
        <v>-0.07671848743672216</v>
      </c>
    </row>
    <row r="41" spans="2:9" ht="9.75" customHeight="1">
      <c r="B41" s="73">
        <v>2002</v>
      </c>
      <c r="C41" s="64">
        <f t="shared" si="2"/>
        <v>2.2403329493838164</v>
      </c>
      <c r="D41" s="65">
        <f t="shared" si="2"/>
        <v>0.45272873702757455</v>
      </c>
      <c r="E41" s="65">
        <f t="shared" si="2"/>
        <v>-3.069688579950236</v>
      </c>
      <c r="F41" s="65">
        <f t="shared" si="2"/>
        <v>2.72601045794012</v>
      </c>
      <c r="G41" s="65">
        <f t="shared" si="2"/>
        <v>-0.35884369921421744</v>
      </c>
      <c r="H41" s="66">
        <f t="shared" si="2"/>
        <v>-0.6030890144564927</v>
      </c>
      <c r="I41" s="67">
        <f t="shared" si="2"/>
        <v>1.9490337524436852</v>
      </c>
    </row>
    <row r="42" spans="1:9" ht="9.75" customHeight="1">
      <c r="A42" s="80"/>
      <c r="B42" s="73">
        <v>2003</v>
      </c>
      <c r="C42" s="64">
        <f t="shared" si="2"/>
        <v>0.943344637150334</v>
      </c>
      <c r="D42" s="65">
        <f t="shared" si="2"/>
        <v>1.90566136651511</v>
      </c>
      <c r="E42" s="65">
        <f t="shared" si="2"/>
        <v>0.809691969318882</v>
      </c>
      <c r="F42" s="65">
        <f t="shared" si="2"/>
        <v>0.33535373783530886</v>
      </c>
      <c r="G42" s="65">
        <f t="shared" si="2"/>
        <v>0.9140054399335185</v>
      </c>
      <c r="H42" s="66">
        <f t="shared" si="2"/>
        <v>4.550400628311002</v>
      </c>
      <c r="I42" s="67">
        <f t="shared" si="2"/>
        <v>1.2645614207286382</v>
      </c>
    </row>
    <row r="43" spans="1:9" ht="9.75" customHeight="1">
      <c r="A43" s="80"/>
      <c r="B43" s="73">
        <v>2004</v>
      </c>
      <c r="C43" s="64">
        <f t="shared" si="2"/>
        <v>2.923185341013701</v>
      </c>
      <c r="D43" s="65">
        <f t="shared" si="2"/>
        <v>31.549917047222564</v>
      </c>
      <c r="E43" s="65">
        <f t="shared" si="2"/>
        <v>3.002340654395086</v>
      </c>
      <c r="F43" s="65">
        <f t="shared" si="2"/>
        <v>1.0609174573931401</v>
      </c>
      <c r="G43" s="65">
        <f t="shared" si="2"/>
        <v>2.3574561665718585</v>
      </c>
      <c r="H43" s="66">
        <f t="shared" si="2"/>
        <v>10.401966319829171</v>
      </c>
      <c r="I43" s="67">
        <f t="shared" si="2"/>
        <v>3.6568913365184086</v>
      </c>
    </row>
    <row r="44" spans="1:9" ht="9.75" customHeight="1">
      <c r="A44" s="80"/>
      <c r="B44" s="73">
        <v>2005</v>
      </c>
      <c r="C44" s="64">
        <f t="shared" si="2"/>
        <v>0.9858900148522531</v>
      </c>
      <c r="D44" s="65">
        <f t="shared" si="2"/>
        <v>-8.028179145984982</v>
      </c>
      <c r="E44" s="65">
        <f t="shared" si="2"/>
        <v>-0.3334424089683985</v>
      </c>
      <c r="F44" s="65">
        <f t="shared" si="2"/>
        <v>-2.736364460221752</v>
      </c>
      <c r="G44" s="65">
        <f t="shared" si="2"/>
        <v>-1.078330637212821</v>
      </c>
      <c r="H44" s="66">
        <f t="shared" si="2"/>
        <v>4.584939372243602</v>
      </c>
      <c r="I44" s="67">
        <f t="shared" si="2"/>
        <v>1.125082846847758</v>
      </c>
    </row>
    <row r="45" spans="1:9" ht="19.5" customHeight="1">
      <c r="A45" s="80"/>
      <c r="B45" s="73">
        <v>2006</v>
      </c>
      <c r="C45" s="64">
        <f t="shared" si="2"/>
        <v>0.2887050799969648</v>
      </c>
      <c r="D45" s="65">
        <f t="shared" si="2"/>
        <v>39.08973171456316</v>
      </c>
      <c r="E45" s="65">
        <f t="shared" si="2"/>
        <v>1.678592620400532</v>
      </c>
      <c r="F45" s="65">
        <f t="shared" si="2"/>
        <v>6.722555873816938</v>
      </c>
      <c r="G45" s="65">
        <f t="shared" si="2"/>
        <v>9.444550671545526</v>
      </c>
      <c r="H45" s="66">
        <f t="shared" si="2"/>
        <v>0.8046022615179727</v>
      </c>
      <c r="I45" s="67">
        <f t="shared" si="2"/>
        <v>0.844006939669395</v>
      </c>
    </row>
    <row r="46" spans="1:9" ht="19.5" customHeight="1">
      <c r="A46" s="80"/>
      <c r="B46" s="73">
        <v>2007</v>
      </c>
      <c r="C46" s="64">
        <f t="shared" si="2"/>
        <v>0.21973224393949664</v>
      </c>
      <c r="D46" s="65">
        <f t="shared" si="2"/>
        <v>11.68961542522904</v>
      </c>
      <c r="E46" s="65">
        <f t="shared" si="2"/>
        <v>8.896283009211036</v>
      </c>
      <c r="F46" s="65">
        <f t="shared" si="2"/>
        <v>3.396083537962258</v>
      </c>
      <c r="G46" s="65">
        <f t="shared" si="2"/>
        <v>6.891566149685957</v>
      </c>
      <c r="H46" s="66">
        <f t="shared" si="2"/>
        <v>3.2451189917353407</v>
      </c>
      <c r="I46" s="67">
        <f t="shared" si="2"/>
        <v>0.8379770675498666</v>
      </c>
    </row>
    <row r="47" spans="1:9" ht="19.5" customHeight="1">
      <c r="A47" s="80"/>
      <c r="B47" s="73">
        <v>2008</v>
      </c>
      <c r="C47" s="64">
        <f t="shared" si="2"/>
        <v>-2.1465260348380033</v>
      </c>
      <c r="D47" s="65">
        <f t="shared" si="2"/>
        <v>-2.736360206876176</v>
      </c>
      <c r="E47" s="65">
        <f t="shared" si="2"/>
        <v>5.046131790905095</v>
      </c>
      <c r="F47" s="65">
        <f t="shared" si="2"/>
        <v>2.120908318122683</v>
      </c>
      <c r="G47" s="65">
        <f t="shared" si="2"/>
        <v>0.35161392112199596</v>
      </c>
      <c r="H47" s="66">
        <f t="shared" si="2"/>
        <v>-3.994784689172237</v>
      </c>
      <c r="I47" s="67">
        <f t="shared" si="2"/>
        <v>-2.0778438648441533</v>
      </c>
    </row>
    <row r="48" spans="1:9" ht="19.5" customHeight="1">
      <c r="A48" s="80"/>
      <c r="B48" s="73">
        <v>2009</v>
      </c>
      <c r="C48" s="64">
        <f t="shared" si="2"/>
        <v>-14.667378304861368</v>
      </c>
      <c r="D48" s="65">
        <f t="shared" si="2"/>
        <v>-15.141441086421025</v>
      </c>
      <c r="E48" s="65">
        <f t="shared" si="2"/>
        <v>-1.342774211687614</v>
      </c>
      <c r="F48" s="65">
        <f t="shared" si="2"/>
        <v>-2.943760925625949</v>
      </c>
      <c r="G48" s="65">
        <f t="shared" si="2"/>
        <v>1.6203261250474776</v>
      </c>
      <c r="H48" s="65">
        <f t="shared" si="2"/>
        <v>-5.408885967647836</v>
      </c>
      <c r="I48" s="172">
        <f t="shared" si="2"/>
        <v>-12.825485201653276</v>
      </c>
    </row>
    <row r="49" spans="1:9" ht="19.5" customHeight="1">
      <c r="A49" s="80"/>
      <c r="B49" s="73">
        <v>2010</v>
      </c>
      <c r="C49" s="64">
        <f t="shared" si="2"/>
        <v>0.5452913648559266</v>
      </c>
      <c r="D49" s="65">
        <f t="shared" si="2"/>
        <v>-11.334489230146705</v>
      </c>
      <c r="E49" s="65">
        <f t="shared" si="2"/>
        <v>0.4728955176735772</v>
      </c>
      <c r="F49" s="65">
        <f t="shared" si="2"/>
        <v>-4.29564012042335</v>
      </c>
      <c r="G49" s="65">
        <f t="shared" si="2"/>
        <v>-2.844568538196779</v>
      </c>
      <c r="H49" s="66">
        <f t="shared" si="2"/>
        <v>2.3495295968808394</v>
      </c>
      <c r="I49" s="67">
        <f t="shared" si="2"/>
        <v>0.3701826935181396</v>
      </c>
    </row>
    <row r="50" spans="1:9" ht="19.5" customHeight="1">
      <c r="A50" s="80"/>
      <c r="B50" s="73">
        <v>2011</v>
      </c>
      <c r="C50" s="64">
        <f t="shared" si="2"/>
        <v>0.13319125732376147</v>
      </c>
      <c r="D50" s="65">
        <f t="shared" si="2"/>
        <v>0.20615065570195323</v>
      </c>
      <c r="E50" s="65">
        <f t="shared" si="2"/>
        <v>4.634094242355169</v>
      </c>
      <c r="F50" s="65">
        <f t="shared" si="2"/>
        <v>0.27496887472584497</v>
      </c>
      <c r="G50" s="65">
        <f t="shared" si="2"/>
        <v>5.647687228205944</v>
      </c>
      <c r="H50" s="66">
        <f t="shared" si="2"/>
        <v>1.933489859843629</v>
      </c>
      <c r="I50" s="67">
        <f t="shared" si="2"/>
        <v>0.4038513860220583</v>
      </c>
    </row>
    <row r="51" spans="1:9" ht="19.5" customHeight="1">
      <c r="A51" s="80"/>
      <c r="B51" s="73">
        <v>2012</v>
      </c>
      <c r="C51" s="64">
        <f t="shared" si="2"/>
        <v>0.5220332633644187</v>
      </c>
      <c r="D51" s="65">
        <f t="shared" si="2"/>
        <v>15.59610771009272</v>
      </c>
      <c r="E51" s="65">
        <f t="shared" si="2"/>
        <v>1.6094694842957002</v>
      </c>
      <c r="F51" s="65">
        <f t="shared" si="2"/>
        <v>7.048417508234905</v>
      </c>
      <c r="G51" s="65">
        <f t="shared" si="2"/>
        <v>-0.4984735440429877</v>
      </c>
      <c r="H51" s="66">
        <f t="shared" si="2"/>
        <v>0.8492547891088442</v>
      </c>
      <c r="I51" s="67">
        <f t="shared" si="2"/>
        <v>1.049144235439048</v>
      </c>
    </row>
    <row r="52" spans="1:9" ht="19.5" customHeight="1">
      <c r="A52" s="80"/>
      <c r="B52" s="74">
        <v>2013</v>
      </c>
      <c r="C52" s="64">
        <f t="shared" si="2"/>
        <v>0.5146058311107149</v>
      </c>
      <c r="D52" s="65">
        <f t="shared" si="2"/>
        <v>-4.765580950308356</v>
      </c>
      <c r="E52" s="65">
        <f t="shared" si="2"/>
        <v>4.199117178036893</v>
      </c>
      <c r="F52" s="65">
        <f t="shared" si="2"/>
        <v>2.607741864439994</v>
      </c>
      <c r="G52" s="65">
        <f t="shared" si="2"/>
        <v>5.075173506764341</v>
      </c>
      <c r="H52" s="66">
        <f t="shared" si="2"/>
        <v>1.5832806554214596</v>
      </c>
      <c r="I52" s="67">
        <f t="shared" si="2"/>
        <v>0.7971328945265421</v>
      </c>
    </row>
    <row r="53" spans="1:9" ht="19.5" customHeight="1">
      <c r="A53" s="80"/>
      <c r="B53" s="74">
        <v>2014</v>
      </c>
      <c r="C53" s="64">
        <f>100*(C27/C26-1)</f>
        <v>1.185626870804768</v>
      </c>
      <c r="D53" s="65">
        <f aca="true" t="shared" si="3" ref="D53:I53">100*(D27/D26-1)</f>
        <v>-1.9469152039978788</v>
      </c>
      <c r="E53" s="65">
        <f t="shared" si="3"/>
        <v>-1.0843622394739127</v>
      </c>
      <c r="F53" s="65">
        <f t="shared" si="3"/>
        <v>5.483325292085217</v>
      </c>
      <c r="G53" s="65">
        <f t="shared" si="3"/>
        <v>-0.1805346498967575</v>
      </c>
      <c r="H53" s="66">
        <f t="shared" si="3"/>
        <v>3.0658829925030995</v>
      </c>
      <c r="I53" s="67">
        <f t="shared" si="3"/>
        <v>1.688872156934762</v>
      </c>
    </row>
    <row r="54" spans="2:9" ht="19.5" customHeight="1">
      <c r="B54" s="74">
        <v>2015</v>
      </c>
      <c r="C54" s="64">
        <f>C28/C27*100-100</f>
        <v>2.583491393591416</v>
      </c>
      <c r="D54" s="188">
        <f aca="true" t="shared" si="4" ref="D54:I55">D28/D27*100-100</f>
        <v>-1.8183720857899601</v>
      </c>
      <c r="E54" s="189">
        <f t="shared" si="4"/>
        <v>-0.30936451480863525</v>
      </c>
      <c r="F54" s="189">
        <f t="shared" si="4"/>
        <v>1.439833441877994</v>
      </c>
      <c r="G54" s="189">
        <f t="shared" si="4"/>
        <v>0.9046623059879977</v>
      </c>
      <c r="H54" s="420">
        <f t="shared" si="4"/>
        <v>5.616214747755336</v>
      </c>
      <c r="I54" s="419">
        <f t="shared" si="4"/>
        <v>2.8501935243957917</v>
      </c>
    </row>
    <row r="55" spans="2:9" ht="19.5" customHeight="1">
      <c r="B55" s="74">
        <v>2016</v>
      </c>
      <c r="C55" s="64">
        <f>C29/C28*100-100</f>
        <v>2.504952609144496</v>
      </c>
      <c r="D55" s="188">
        <f t="shared" si="4"/>
        <v>4.277961016735816</v>
      </c>
      <c r="E55" s="189">
        <f t="shared" si="4"/>
        <v>0.23163482302854277</v>
      </c>
      <c r="F55" s="189">
        <f t="shared" si="4"/>
        <v>0.7391481390847048</v>
      </c>
      <c r="G55" s="189">
        <f t="shared" si="4"/>
        <v>1.4617521165366583</v>
      </c>
      <c r="H55" s="420">
        <f t="shared" si="4"/>
        <v>4.444809207408284</v>
      </c>
      <c r="I55" s="419">
        <f t="shared" si="4"/>
        <v>2.628669971548419</v>
      </c>
    </row>
    <row r="56" spans="2:9" ht="19.5" customHeight="1">
      <c r="B56" s="110" t="s">
        <v>73</v>
      </c>
      <c r="C56" s="111">
        <f aca="true" t="shared" si="5" ref="C56:I56">100*(POWER((C8/C7),1/5)-1)</f>
        <v>1.5476714348274356</v>
      </c>
      <c r="D56" s="112">
        <f t="shared" si="5"/>
        <v>-2.8044036148359153</v>
      </c>
      <c r="E56" s="112">
        <f t="shared" si="5"/>
        <v>-1.6848468710477849</v>
      </c>
      <c r="F56" s="112">
        <f t="shared" si="5"/>
        <v>2.3088374081304375</v>
      </c>
      <c r="G56" s="112">
        <f t="shared" si="5"/>
        <v>3.5333119902342114</v>
      </c>
      <c r="H56" s="113">
        <f t="shared" si="5"/>
        <v>3.151122320246813</v>
      </c>
      <c r="I56" s="114">
        <f t="shared" si="5"/>
        <v>1.700221639086985</v>
      </c>
    </row>
    <row r="57" spans="2:9" ht="20.25" customHeight="1">
      <c r="B57" s="81" t="s">
        <v>109</v>
      </c>
      <c r="C57" s="64">
        <f aca="true" t="shared" si="6" ref="C57:I57">100*(POWER((C13/C8),1/5)-1)</f>
        <v>2.2475335590066647</v>
      </c>
      <c r="D57" s="65">
        <f t="shared" si="6"/>
        <v>7.4876137514655605</v>
      </c>
      <c r="E57" s="65">
        <f t="shared" si="6"/>
        <v>3.7316610452985843</v>
      </c>
      <c r="F57" s="65">
        <f t="shared" si="6"/>
        <v>18.172672948678724</v>
      </c>
      <c r="G57" s="65">
        <f t="shared" si="6"/>
        <v>3.3591153554357156</v>
      </c>
      <c r="H57" s="66">
        <f t="shared" si="6"/>
        <v>5.125698423473346</v>
      </c>
      <c r="I57" s="67">
        <f t="shared" si="6"/>
        <v>3.2678578610680464</v>
      </c>
    </row>
    <row r="58" spans="2:9" ht="20.25" customHeight="1">
      <c r="B58" s="106" t="s">
        <v>144</v>
      </c>
      <c r="C58" s="107">
        <f>100*(POWER((C29/C13),1/16)-1)</f>
        <v>-0.05594322731888868</v>
      </c>
      <c r="D58" s="108">
        <f aca="true" t="shared" si="7" ref="D58:I58">100*(POWER((D29/D13),1/16)-1)</f>
        <v>2.234600771077866</v>
      </c>
      <c r="E58" s="108">
        <f t="shared" si="7"/>
        <v>1.61532285525412</v>
      </c>
      <c r="F58" s="108">
        <f t="shared" si="7"/>
        <v>0.6204827550973846</v>
      </c>
      <c r="G58" s="108">
        <f t="shared" si="7"/>
        <v>1.9441112402999394</v>
      </c>
      <c r="H58" s="108">
        <f t="shared" si="7"/>
        <v>1.6179525487992175</v>
      </c>
      <c r="I58" s="109">
        <f t="shared" si="7"/>
        <v>0.21021977534732006</v>
      </c>
    </row>
    <row r="59" spans="2:9" ht="23.25" customHeight="1">
      <c r="B59" s="78"/>
      <c r="C59" s="3"/>
      <c r="D59" s="3"/>
      <c r="E59" s="3"/>
      <c r="F59" s="3"/>
      <c r="G59" s="3"/>
      <c r="H59" s="3"/>
      <c r="I59" s="3"/>
    </row>
    <row r="60" spans="2:9" ht="9.75" customHeight="1">
      <c r="B60" s="540" t="s">
        <v>54</v>
      </c>
      <c r="C60" s="540"/>
      <c r="D60" s="540"/>
      <c r="E60" s="540"/>
      <c r="F60" s="540"/>
      <c r="G60" s="540"/>
      <c r="H60" s="540"/>
      <c r="I60" s="540"/>
    </row>
    <row r="61" spans="2:9" ht="27.75" customHeight="1">
      <c r="B61" s="541" t="s">
        <v>42</v>
      </c>
      <c r="C61" s="541"/>
      <c r="D61" s="541"/>
      <c r="E61" s="541"/>
      <c r="F61" s="541"/>
      <c r="G61" s="541"/>
      <c r="H61" s="541"/>
      <c r="I61" s="541"/>
    </row>
    <row r="62" spans="2:9" ht="9.75" customHeight="1">
      <c r="B62" s="29"/>
      <c r="C62" s="535" t="s">
        <v>66</v>
      </c>
      <c r="D62" s="535" t="s">
        <v>67</v>
      </c>
      <c r="E62" s="537" t="s">
        <v>68</v>
      </c>
      <c r="F62" s="537" t="s">
        <v>69</v>
      </c>
      <c r="G62" s="535" t="s">
        <v>70</v>
      </c>
      <c r="H62" s="537" t="s">
        <v>49</v>
      </c>
      <c r="I62" s="539"/>
    </row>
    <row r="63" spans="2:9" ht="9.75" customHeight="1">
      <c r="B63" s="29"/>
      <c r="C63" s="536"/>
      <c r="D63" s="536"/>
      <c r="E63" s="538"/>
      <c r="F63" s="538"/>
      <c r="G63" s="536"/>
      <c r="H63" s="538"/>
      <c r="I63" s="539"/>
    </row>
    <row r="64" spans="2:9" ht="9.75" customHeight="1" hidden="1">
      <c r="B64" s="71">
        <v>1990</v>
      </c>
      <c r="C64" s="166">
        <f aca="true" t="shared" si="8" ref="C64:H73">100*(C7/$I7)</f>
        <v>86.66022095492343</v>
      </c>
      <c r="D64" s="167">
        <f t="shared" si="8"/>
        <v>0.328140154842821</v>
      </c>
      <c r="E64" s="167">
        <f t="shared" si="8"/>
        <v>0.4630478823177806</v>
      </c>
      <c r="F64" s="167">
        <f t="shared" si="8"/>
        <v>3.211410852093387</v>
      </c>
      <c r="G64" s="167">
        <f t="shared" si="8"/>
        <v>0.2021278486982646</v>
      </c>
      <c r="H64" s="168">
        <f t="shared" si="8"/>
        <v>9.13505230712432</v>
      </c>
      <c r="I64" s="72"/>
    </row>
    <row r="65" spans="2:9" ht="9.75" customHeight="1" hidden="1">
      <c r="B65" s="73">
        <v>1995</v>
      </c>
      <c r="C65" s="90">
        <f t="shared" si="8"/>
        <v>86.01221677307494</v>
      </c>
      <c r="D65" s="91">
        <f t="shared" si="8"/>
        <v>0.2616271596012311</v>
      </c>
      <c r="E65" s="91">
        <f t="shared" si="8"/>
        <v>0.39094773853746184</v>
      </c>
      <c r="F65" s="91">
        <f t="shared" si="8"/>
        <v>3.308659850534601</v>
      </c>
      <c r="G65" s="91">
        <f t="shared" si="8"/>
        <v>0.22101268080259887</v>
      </c>
      <c r="H65" s="92">
        <f t="shared" si="8"/>
        <v>9.80553579744916</v>
      </c>
      <c r="I65" s="72"/>
    </row>
    <row r="66" spans="2:9" ht="9.75" customHeight="1" hidden="1">
      <c r="B66" s="73">
        <v>1996</v>
      </c>
      <c r="C66" s="90">
        <f t="shared" si="8"/>
        <v>85.61587254368985</v>
      </c>
      <c r="D66" s="91">
        <f t="shared" si="8"/>
        <v>0.25698654391612835</v>
      </c>
      <c r="E66" s="91">
        <f t="shared" si="8"/>
        <v>0.3904777778835257</v>
      </c>
      <c r="F66" s="91">
        <f t="shared" si="8"/>
        <v>3.2811040475707696</v>
      </c>
      <c r="G66" s="91">
        <f t="shared" si="8"/>
        <v>0.2191556000038088</v>
      </c>
      <c r="H66" s="92">
        <f t="shared" si="8"/>
        <v>10.236403486935918</v>
      </c>
      <c r="I66" s="72"/>
    </row>
    <row r="67" spans="2:9" ht="9.75" customHeight="1" hidden="1">
      <c r="B67" s="73">
        <v>1997</v>
      </c>
      <c r="C67" s="90">
        <f t="shared" si="8"/>
        <v>85.52481181835435</v>
      </c>
      <c r="D67" s="91">
        <f t="shared" si="8"/>
        <v>0.2534608599885966</v>
      </c>
      <c r="E67" s="91">
        <f t="shared" si="8"/>
        <v>0.3936441576948098</v>
      </c>
      <c r="F67" s="91">
        <f t="shared" si="8"/>
        <v>3.3199548767493785</v>
      </c>
      <c r="G67" s="91">
        <f t="shared" si="8"/>
        <v>0.20711137445823227</v>
      </c>
      <c r="H67" s="92">
        <f t="shared" si="8"/>
        <v>10.301016912754628</v>
      </c>
      <c r="I67" s="72"/>
    </row>
    <row r="68" spans="2:8" ht="9.75" customHeight="1">
      <c r="B68" s="73">
        <v>1998</v>
      </c>
      <c r="C68" s="90">
        <f t="shared" si="8"/>
        <v>85.5335089415718</v>
      </c>
      <c r="D68" s="91">
        <f t="shared" si="8"/>
        <v>0.2516578125338952</v>
      </c>
      <c r="E68" s="91">
        <f t="shared" si="8"/>
        <v>0.3913229441397181</v>
      </c>
      <c r="F68" s="91">
        <f t="shared" si="8"/>
        <v>3.309301718780829</v>
      </c>
      <c r="G68" s="91">
        <f t="shared" si="8"/>
        <v>0.21843148009224214</v>
      </c>
      <c r="H68" s="92">
        <f t="shared" si="8"/>
        <v>10.295777102881523</v>
      </c>
    </row>
    <row r="69" spans="2:8" ht="9.75" customHeight="1">
      <c r="B69" s="74">
        <v>1999</v>
      </c>
      <c r="C69" s="90">
        <f t="shared" si="8"/>
        <v>85.0494849256692</v>
      </c>
      <c r="D69" s="91">
        <f t="shared" si="8"/>
        <v>0.2521062671001849</v>
      </c>
      <c r="E69" s="91">
        <f t="shared" si="8"/>
        <v>0.3948132388073588</v>
      </c>
      <c r="F69" s="91">
        <f t="shared" si="8"/>
        <v>3.5217592307884753</v>
      </c>
      <c r="G69" s="91">
        <f t="shared" si="8"/>
        <v>0.21555682515994146</v>
      </c>
      <c r="H69" s="92">
        <f t="shared" si="8"/>
        <v>10.566279512474837</v>
      </c>
    </row>
    <row r="70" spans="2:9" ht="9.75" customHeight="1">
      <c r="B70" s="73">
        <v>2000</v>
      </c>
      <c r="C70" s="90">
        <f t="shared" si="8"/>
        <v>81.8461965808445</v>
      </c>
      <c r="D70" s="91">
        <f t="shared" si="8"/>
        <v>0.31963114640378687</v>
      </c>
      <c r="E70" s="91">
        <f t="shared" si="8"/>
        <v>0.39980620032816805</v>
      </c>
      <c r="F70" s="91">
        <f t="shared" si="8"/>
        <v>6.492494264151698</v>
      </c>
      <c r="G70" s="91">
        <f t="shared" si="8"/>
        <v>0.22199094945694395</v>
      </c>
      <c r="H70" s="92">
        <f t="shared" si="8"/>
        <v>10.719880858814907</v>
      </c>
      <c r="I70" s="1"/>
    </row>
    <row r="71" spans="2:9" ht="9.75" customHeight="1">
      <c r="B71" s="73">
        <v>2001</v>
      </c>
      <c r="C71" s="90">
        <f t="shared" si="8"/>
        <v>83.31084660901392</v>
      </c>
      <c r="D71" s="91">
        <f t="shared" si="8"/>
        <v>0.29215893588605585</v>
      </c>
      <c r="E71" s="91">
        <f t="shared" si="8"/>
        <v>0.4082964180380768</v>
      </c>
      <c r="F71" s="91">
        <f t="shared" si="8"/>
        <v>5.697514014576027</v>
      </c>
      <c r="G71" s="91">
        <f t="shared" si="8"/>
        <v>0.22695171216026497</v>
      </c>
      <c r="H71" s="92">
        <f t="shared" si="8"/>
        <v>10.064232310325652</v>
      </c>
      <c r="I71" s="82"/>
    </row>
    <row r="72" spans="2:9" ht="9.75" customHeight="1">
      <c r="B72" s="73">
        <v>2002</v>
      </c>
      <c r="C72" s="90">
        <f t="shared" si="8"/>
        <v>83.54889087309726</v>
      </c>
      <c r="D72" s="91">
        <f t="shared" si="8"/>
        <v>0.2878709219150117</v>
      </c>
      <c r="E72" s="91">
        <f t="shared" si="8"/>
        <v>0.38819690089679715</v>
      </c>
      <c r="F72" s="91">
        <f t="shared" si="8"/>
        <v>5.740936060922385</v>
      </c>
      <c r="G72" s="91">
        <f t="shared" si="8"/>
        <v>0.22181407897404293</v>
      </c>
      <c r="H72" s="92">
        <f t="shared" si="8"/>
        <v>9.812291164194498</v>
      </c>
      <c r="I72" s="82"/>
    </row>
    <row r="73" spans="2:9" ht="9.75" customHeight="1">
      <c r="B73" s="73">
        <v>2003</v>
      </c>
      <c r="C73" s="90">
        <f t="shared" si="8"/>
        <v>83.28386917526667</v>
      </c>
      <c r="D73" s="91">
        <f t="shared" si="8"/>
        <v>0.289693415686218</v>
      </c>
      <c r="E73" s="91">
        <f t="shared" si="8"/>
        <v>0.38645316242726235</v>
      </c>
      <c r="F73" s="91">
        <f t="shared" si="8"/>
        <v>5.688257001042346</v>
      </c>
      <c r="G73" s="91">
        <f t="shared" si="8"/>
        <v>0.22104620667086033</v>
      </c>
      <c r="H73" s="92">
        <f t="shared" si="8"/>
        <v>10.130681038906626</v>
      </c>
      <c r="I73" s="82"/>
    </row>
    <row r="74" spans="2:9" ht="9.75" customHeight="1">
      <c r="B74" s="73">
        <v>2004</v>
      </c>
      <c r="C74" s="90">
        <f aca="true" t="shared" si="9" ref="C74:H81">100*(C17/$I17)</f>
        <v>82.6943678564943</v>
      </c>
      <c r="D74" s="91">
        <f t="shared" si="9"/>
        <v>0.36764699684971797</v>
      </c>
      <c r="E74" s="91">
        <f t="shared" si="9"/>
        <v>0.38401286947795643</v>
      </c>
      <c r="F74" s="91">
        <f t="shared" si="9"/>
        <v>5.545800803465301</v>
      </c>
      <c r="G74" s="91">
        <f t="shared" si="9"/>
        <v>0.218275187673205</v>
      </c>
      <c r="H74" s="92">
        <f t="shared" si="9"/>
        <v>10.789896286039513</v>
      </c>
      <c r="I74" s="82"/>
    </row>
    <row r="75" spans="2:9" ht="12.75">
      <c r="B75" s="73">
        <v>2005</v>
      </c>
      <c r="C75" s="90">
        <f t="shared" si="9"/>
        <v>82.58054383847639</v>
      </c>
      <c r="D75" s="91">
        <f t="shared" si="9"/>
        <v>0.33436970116492615</v>
      </c>
      <c r="E75" s="91">
        <f t="shared" si="9"/>
        <v>0.3784742587502868</v>
      </c>
      <c r="F75" s="91">
        <f t="shared" si="9"/>
        <v>5.334035166541004</v>
      </c>
      <c r="G75" s="91">
        <f t="shared" si="9"/>
        <v>0.21351919165109653</v>
      </c>
      <c r="H75" s="92">
        <f t="shared" si="9"/>
        <v>11.159057843416292</v>
      </c>
      <c r="I75" s="82"/>
    </row>
    <row r="76" spans="2:9" ht="12.75">
      <c r="B76" s="73">
        <v>2006</v>
      </c>
      <c r="C76" s="90">
        <f t="shared" si="9"/>
        <v>82.1258105235487</v>
      </c>
      <c r="D76" s="91">
        <f t="shared" si="9"/>
        <v>0.46118151628317966</v>
      </c>
      <c r="E76" s="91">
        <f t="shared" si="9"/>
        <v>0.3816065142651563</v>
      </c>
      <c r="F76" s="91">
        <f t="shared" si="9"/>
        <v>5.644974682874724</v>
      </c>
      <c r="G76" s="91">
        <f t="shared" si="9"/>
        <v>0.23172930845544687</v>
      </c>
      <c r="H76" s="92">
        <f t="shared" si="9"/>
        <v>11.154697454572798</v>
      </c>
      <c r="I76" s="82"/>
    </row>
    <row r="77" spans="2:9" ht="12.75">
      <c r="B77" s="73">
        <v>2007</v>
      </c>
      <c r="C77" s="90">
        <f t="shared" si="9"/>
        <v>81.62229132654042</v>
      </c>
      <c r="D77" s="91">
        <f t="shared" si="9"/>
        <v>0.5108113797283647</v>
      </c>
      <c r="E77" s="91">
        <f t="shared" si="9"/>
        <v>0.41210198958810473</v>
      </c>
      <c r="F77" s="91">
        <f t="shared" si="9"/>
        <v>5.788179125104882</v>
      </c>
      <c r="G77" s="91">
        <f t="shared" si="9"/>
        <v>0.2456406745148545</v>
      </c>
      <c r="H77" s="92">
        <f t="shared" si="9"/>
        <v>11.420975504523364</v>
      </c>
      <c r="I77" s="83"/>
    </row>
    <row r="78" spans="2:9" ht="12.75">
      <c r="B78" s="73">
        <v>2008</v>
      </c>
      <c r="C78" s="90">
        <f t="shared" si="9"/>
        <v>81.5650418100935</v>
      </c>
      <c r="D78" s="91">
        <f t="shared" si="9"/>
        <v>0.5073762261888248</v>
      </c>
      <c r="E78" s="91">
        <f t="shared" si="9"/>
        <v>0.4420829934526375</v>
      </c>
      <c r="F78" s="91">
        <f t="shared" si="9"/>
        <v>6.036367387048309</v>
      </c>
      <c r="G78" s="91">
        <f t="shared" si="9"/>
        <v>0.251735042457758</v>
      </c>
      <c r="H78" s="92">
        <f t="shared" si="9"/>
        <v>11.197396540758985</v>
      </c>
      <c r="I78" s="83"/>
    </row>
    <row r="79" spans="2:9" ht="12.75">
      <c r="B79" s="73">
        <v>2009</v>
      </c>
      <c r="C79" s="90">
        <f t="shared" si="9"/>
        <v>79.84167015359029</v>
      </c>
      <c r="D79" s="91">
        <f t="shared" si="9"/>
        <v>0.49389681698819515</v>
      </c>
      <c r="E79" s="91">
        <f t="shared" si="9"/>
        <v>0.5003145908310469</v>
      </c>
      <c r="F79" s="91">
        <f t="shared" si="9"/>
        <v>6.720623769611465</v>
      </c>
      <c r="G79" s="91">
        <f t="shared" si="9"/>
        <v>0.29345041002906963</v>
      </c>
      <c r="H79" s="92">
        <f t="shared" si="9"/>
        <v>12.150044258949936</v>
      </c>
      <c r="I79" s="83"/>
    </row>
    <row r="80" spans="2:9" ht="12.75">
      <c r="B80" s="73">
        <v>2010</v>
      </c>
      <c r="C80" s="90">
        <f t="shared" si="9"/>
        <v>79.98096419892123</v>
      </c>
      <c r="D80" s="91">
        <f t="shared" si="9"/>
        <v>0.43630102457401554</v>
      </c>
      <c r="E80" s="91">
        <f t="shared" si="9"/>
        <v>0.5008265827713959</v>
      </c>
      <c r="F80" s="91">
        <f t="shared" si="9"/>
        <v>6.408207882077212</v>
      </c>
      <c r="G80" s="91">
        <f t="shared" si="9"/>
        <v>0.28405150248728706</v>
      </c>
      <c r="H80" s="92">
        <f t="shared" si="9"/>
        <v>12.389648809168866</v>
      </c>
      <c r="I80" s="83"/>
    </row>
    <row r="81" spans="2:8" ht="12.75">
      <c r="B81" s="73">
        <v>2011</v>
      </c>
      <c r="C81" s="90">
        <f t="shared" si="9"/>
        <v>79.76535834551362</v>
      </c>
      <c r="D81" s="91">
        <f t="shared" si="9"/>
        <v>0.43544192375261315</v>
      </c>
      <c r="E81" s="91">
        <f t="shared" si="9"/>
        <v>0.5219275469752986</v>
      </c>
      <c r="F81" s="91">
        <f t="shared" si="9"/>
        <v>6.399982042994856</v>
      </c>
      <c r="G81" s="91">
        <f t="shared" si="9"/>
        <v>0.29888678449297706</v>
      </c>
      <c r="H81" s="92">
        <f t="shared" si="9"/>
        <v>12.57840335627064</v>
      </c>
    </row>
    <row r="82" spans="2:8" ht="12.75">
      <c r="B82" s="73">
        <v>2012</v>
      </c>
      <c r="C82" s="90">
        <f aca="true" t="shared" si="10" ref="C82:H84">100*(C25/$I25)</f>
        <v>79.34927173841263</v>
      </c>
      <c r="D82" s="91">
        <f t="shared" si="10"/>
        <v>0.49812783572237207</v>
      </c>
      <c r="E82" s="91">
        <f t="shared" si="10"/>
        <v>0.5248216752220722</v>
      </c>
      <c r="F82" s="91">
        <f t="shared" si="10"/>
        <v>6.779948063562569</v>
      </c>
      <c r="G82" s="91">
        <f t="shared" si="10"/>
        <v>0.2943091850958382</v>
      </c>
      <c r="H82" s="92">
        <f t="shared" si="10"/>
        <v>12.553521501984525</v>
      </c>
    </row>
    <row r="83" spans="2:8" ht="12.75">
      <c r="B83" s="73">
        <v>2013</v>
      </c>
      <c r="C83" s="90">
        <f t="shared" si="10"/>
        <v>79.12686147648684</v>
      </c>
      <c r="D83" s="91">
        <f t="shared" si="10"/>
        <v>0.4706375437993867</v>
      </c>
      <c r="E83" s="91">
        <f t="shared" si="10"/>
        <v>0.5425348287561051</v>
      </c>
      <c r="F83" s="91">
        <f t="shared" si="10"/>
        <v>6.9017356028200485</v>
      </c>
      <c r="G83" s="91">
        <f t="shared" si="10"/>
        <v>0.3068002809260349</v>
      </c>
      <c r="H83" s="92">
        <f t="shared" si="10"/>
        <v>12.65143026721159</v>
      </c>
    </row>
    <row r="84" spans="2:8" ht="12.75">
      <c r="B84" s="74">
        <v>2014</v>
      </c>
      <c r="C84" s="495">
        <f t="shared" si="10"/>
        <v>78.73527270969582</v>
      </c>
      <c r="D84" s="496">
        <f t="shared" si="10"/>
        <v>0.4538103532029031</v>
      </c>
      <c r="E84" s="496">
        <f t="shared" si="10"/>
        <v>0.5277389497533943</v>
      </c>
      <c r="F84" s="496">
        <f t="shared" si="10"/>
        <v>7.159269310694043</v>
      </c>
      <c r="G84" s="496">
        <f t="shared" si="10"/>
        <v>0.3011601895243343</v>
      </c>
      <c r="H84" s="497">
        <f t="shared" si="10"/>
        <v>12.822748487129514</v>
      </c>
    </row>
    <row r="85" spans="2:8" ht="12.75">
      <c r="B85" s="74">
        <v>2015</v>
      </c>
      <c r="C85" s="495">
        <f>100*(C28/$I28)</f>
        <v>78.53110328345008</v>
      </c>
      <c r="D85" s="496">
        <f aca="true" t="shared" si="11" ref="D85:H86">100*(D28/$I28)</f>
        <v>0.4332110394251727</v>
      </c>
      <c r="E85" s="496">
        <f t="shared" si="11"/>
        <v>0.5115268087339501</v>
      </c>
      <c r="F85" s="496">
        <f t="shared" si="11"/>
        <v>7.061095964492194</v>
      </c>
      <c r="G85" s="496">
        <f t="shared" si="11"/>
        <v>0.29546339372470154</v>
      </c>
      <c r="H85" s="497">
        <f t="shared" si="11"/>
        <v>13.167599510173908</v>
      </c>
    </row>
    <row r="86" spans="2:8" ht="12.75">
      <c r="B86" s="488">
        <v>2015</v>
      </c>
      <c r="C86" s="498">
        <f>100*(C29/$I29)</f>
        <v>78.4364351856603</v>
      </c>
      <c r="D86" s="499">
        <f t="shared" si="11"/>
        <v>0.44017294478941765</v>
      </c>
      <c r="E86" s="499">
        <f t="shared" si="11"/>
        <v>0.4995793895548316</v>
      </c>
      <c r="F86" s="499">
        <f t="shared" si="11"/>
        <v>6.931092379824008</v>
      </c>
      <c r="G86" s="499">
        <f t="shared" si="11"/>
        <v>0.29210388892223926</v>
      </c>
      <c r="H86" s="500">
        <f t="shared" si="11"/>
        <v>13.400616211249208</v>
      </c>
    </row>
  </sheetData>
  <sheetProtection/>
  <mergeCells count="31">
    <mergeCell ref="B36:I36"/>
    <mergeCell ref="C37:C38"/>
    <mergeCell ref="B32:I32"/>
    <mergeCell ref="B31:C31"/>
    <mergeCell ref="B33:I33"/>
    <mergeCell ref="B35:I35"/>
    <mergeCell ref="H37:H38"/>
    <mergeCell ref="I37:I38"/>
    <mergeCell ref="B2:I2"/>
    <mergeCell ref="B3:I3"/>
    <mergeCell ref="B4:I4"/>
    <mergeCell ref="C5:C6"/>
    <mergeCell ref="D5:D6"/>
    <mergeCell ref="E5:E6"/>
    <mergeCell ref="F5:F6"/>
    <mergeCell ref="G5:G6"/>
    <mergeCell ref="H5:H6"/>
    <mergeCell ref="I5:I6"/>
    <mergeCell ref="B60:I60"/>
    <mergeCell ref="B61:I61"/>
    <mergeCell ref="D37:D38"/>
    <mergeCell ref="E37:E38"/>
    <mergeCell ref="F37:F38"/>
    <mergeCell ref="G37:G38"/>
    <mergeCell ref="G62:G63"/>
    <mergeCell ref="H62:H63"/>
    <mergeCell ref="I62:I63"/>
    <mergeCell ref="C62:C63"/>
    <mergeCell ref="D62:D63"/>
    <mergeCell ref="E62:E63"/>
    <mergeCell ref="F62:F6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X44"/>
  <sheetViews>
    <sheetView zoomScalePageLayoutView="0" workbookViewId="0" topLeftCell="A16">
      <selection activeCell="G51" sqref="G51"/>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9"/>
      <c r="N1" s="18" t="s">
        <v>84</v>
      </c>
    </row>
    <row r="2" spans="3:9" ht="12.75" customHeight="1">
      <c r="C2" s="32"/>
      <c r="D2" s="32"/>
      <c r="E2" s="32"/>
      <c r="I2" s="13"/>
    </row>
    <row r="3" spans="3:5" ht="12.75" customHeight="1">
      <c r="C3" s="13"/>
      <c r="D3" s="13"/>
      <c r="E3" s="13"/>
    </row>
    <row r="4" spans="3:7" ht="12.75" customHeight="1">
      <c r="C4" s="1"/>
      <c r="D4" s="1"/>
      <c r="E4" s="1"/>
      <c r="F4" s="1"/>
      <c r="G4" s="33"/>
    </row>
    <row r="5" spans="3:7" ht="12.75" customHeight="1">
      <c r="C5" s="1"/>
      <c r="D5" s="1"/>
      <c r="E5" s="1"/>
      <c r="F5" s="1"/>
      <c r="G5" s="1"/>
    </row>
    <row r="6" spans="3:7" ht="12.75" customHeight="1">
      <c r="C6" s="1"/>
      <c r="D6" s="1"/>
      <c r="E6" s="1"/>
      <c r="F6" s="1"/>
      <c r="G6" s="1"/>
    </row>
    <row r="7" spans="3:9" ht="12.75" customHeight="1">
      <c r="C7" s="1"/>
      <c r="D7" s="1"/>
      <c r="E7" s="1"/>
      <c r="F7" s="1"/>
      <c r="G7" s="1"/>
      <c r="I7" s="21"/>
    </row>
    <row r="8" spans="3:7" s="20" customFormat="1" ht="12.75" customHeight="1">
      <c r="C8" s="34"/>
      <c r="D8" s="1"/>
      <c r="E8" s="1"/>
      <c r="F8" s="1"/>
      <c r="G8" s="1"/>
    </row>
    <row r="9" spans="3:7" s="20" customFormat="1" ht="12.75" customHeight="1">
      <c r="C9" s="34"/>
      <c r="D9" s="1"/>
      <c r="E9" s="1"/>
      <c r="F9" s="1"/>
      <c r="G9" s="1"/>
    </row>
    <row r="10" spans="3:7" s="21" customFormat="1" ht="12.75" customHeight="1">
      <c r="C10" s="35"/>
      <c r="D10" s="1"/>
      <c r="E10" s="1"/>
      <c r="F10" s="1"/>
      <c r="G10" s="1"/>
    </row>
    <row r="11" spans="3:7" s="21" customFormat="1" ht="12.75" customHeight="1">
      <c r="C11" s="35"/>
      <c r="D11" s="1"/>
      <c r="E11" s="1"/>
      <c r="F11" s="1"/>
      <c r="G11" s="1"/>
    </row>
    <row r="12" spans="3:7" s="21" customFormat="1" ht="12.75" customHeight="1">
      <c r="C12" s="35"/>
      <c r="D12" s="1"/>
      <c r="E12" s="1"/>
      <c r="F12" s="1"/>
      <c r="G12" s="1"/>
    </row>
    <row r="13" spans="3:7" s="21" customFormat="1" ht="12.75" customHeight="1">
      <c r="C13" s="35"/>
      <c r="D13" s="1"/>
      <c r="E13" s="1"/>
      <c r="F13" s="1"/>
      <c r="G13" s="1"/>
    </row>
    <row r="14" spans="3:7" s="21" customFormat="1" ht="12.75" customHeight="1">
      <c r="C14" s="35"/>
      <c r="D14" s="1"/>
      <c r="E14" s="1"/>
      <c r="F14" s="1"/>
      <c r="G14" s="1"/>
    </row>
    <row r="15" spans="3:7" s="21" customFormat="1" ht="12.75" customHeight="1">
      <c r="C15" s="35"/>
      <c r="D15" s="1"/>
      <c r="E15" s="1"/>
      <c r="F15" s="1"/>
      <c r="G15" s="1"/>
    </row>
    <row r="16" spans="3:7" s="22" customFormat="1" ht="12.75" customHeight="1">
      <c r="C16" s="24"/>
      <c r="D16" s="1"/>
      <c r="E16" s="1"/>
      <c r="F16" s="1"/>
      <c r="G16" s="1"/>
    </row>
    <row r="17" spans="3:7" s="27" customFormat="1" ht="12.75" customHeight="1">
      <c r="C17" s="36"/>
      <c r="D17" s="1"/>
      <c r="E17" s="1"/>
      <c r="F17" s="1"/>
      <c r="G17" s="1"/>
    </row>
    <row r="18" spans="3:7" ht="12.75" customHeight="1">
      <c r="C18" s="1"/>
      <c r="D18" s="1"/>
      <c r="E18" s="1"/>
      <c r="F18" s="1"/>
      <c r="G18" s="1"/>
    </row>
    <row r="19" spans="3:7" s="38" customFormat="1" ht="12.75" customHeight="1">
      <c r="C19" s="37"/>
      <c r="D19" s="1"/>
      <c r="E19" s="1"/>
      <c r="F19" s="1"/>
      <c r="G19" s="1"/>
    </row>
    <row r="20" spans="3:7" s="38" customFormat="1" ht="12.75" customHeight="1">
      <c r="C20" s="37"/>
      <c r="D20" s="1"/>
      <c r="E20" s="1"/>
      <c r="F20" s="1"/>
      <c r="G20" s="1"/>
    </row>
    <row r="21" spans="3:7" s="38" customFormat="1" ht="12.75" customHeight="1">
      <c r="C21" s="37"/>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20" customFormat="1" ht="12.75" customHeight="1">
      <c r="C25" s="34"/>
      <c r="D25" s="1"/>
      <c r="E25" s="1"/>
      <c r="F25" s="1"/>
      <c r="G25" s="1"/>
    </row>
    <row r="26" spans="3:7" s="20" customFormat="1" ht="12.75" customHeight="1">
      <c r="C26" s="34"/>
      <c r="D26" s="1"/>
      <c r="E26" s="1"/>
      <c r="F26" s="1"/>
      <c r="G26" s="1"/>
    </row>
    <row r="27" spans="3:7" s="22" customFormat="1" ht="12.75" customHeight="1">
      <c r="C27" s="24"/>
      <c r="D27" s="1"/>
      <c r="E27" s="1"/>
      <c r="F27" s="1"/>
      <c r="G27" s="1"/>
    </row>
    <row r="28" spans="3:7" s="21" customFormat="1" ht="12.75" customHeight="1">
      <c r="C28" s="35"/>
      <c r="D28" s="1"/>
      <c r="E28" s="1"/>
      <c r="F28" s="1"/>
      <c r="G28" s="1"/>
    </row>
    <row r="29" spans="3:7" s="21" customFormat="1" ht="12.75" customHeight="1">
      <c r="C29" s="35"/>
      <c r="D29" s="1"/>
      <c r="E29" s="1"/>
      <c r="F29" s="1"/>
      <c r="G29" s="1"/>
    </row>
    <row r="30" spans="3:7" s="21" customFormat="1" ht="12.75" customHeight="1">
      <c r="C30" s="35"/>
      <c r="D30" s="1"/>
      <c r="E30" s="1"/>
      <c r="F30" s="1"/>
      <c r="G30" s="1"/>
    </row>
    <row r="31" spans="3:7" s="21" customFormat="1" ht="12.75" customHeight="1">
      <c r="C31" s="35"/>
      <c r="D31" s="1"/>
      <c r="E31" s="1"/>
      <c r="F31" s="1"/>
      <c r="G31" s="1"/>
    </row>
    <row r="32" ht="15" customHeight="1">
      <c r="B32" s="39" t="s">
        <v>85</v>
      </c>
    </row>
    <row r="35" ht="21.75" customHeight="1"/>
    <row r="36" spans="2:24" ht="21.75" customHeight="1">
      <c r="B36" s="20"/>
      <c r="C36" s="96">
        <v>1995</v>
      </c>
      <c r="D36" s="97">
        <v>1996</v>
      </c>
      <c r="E36" s="97">
        <v>1997</v>
      </c>
      <c r="F36" s="97">
        <v>1998</v>
      </c>
      <c r="G36" s="97">
        <v>1999</v>
      </c>
      <c r="H36" s="97">
        <v>2000</v>
      </c>
      <c r="I36" s="97">
        <v>2001</v>
      </c>
      <c r="J36" s="97">
        <v>2002</v>
      </c>
      <c r="K36" s="97">
        <v>2003</v>
      </c>
      <c r="L36" s="97">
        <v>2004</v>
      </c>
      <c r="M36" s="97">
        <v>2005</v>
      </c>
      <c r="N36" s="97">
        <v>2006</v>
      </c>
      <c r="O36" s="97">
        <v>2007</v>
      </c>
      <c r="P36" s="97">
        <v>2008</v>
      </c>
      <c r="Q36" s="97">
        <v>2009</v>
      </c>
      <c r="R36" s="97">
        <v>2010</v>
      </c>
      <c r="S36" s="195">
        <v>2011</v>
      </c>
      <c r="T36" s="195">
        <v>2012</v>
      </c>
      <c r="U36" s="195">
        <v>2013</v>
      </c>
      <c r="V36" s="424">
        <v>2014</v>
      </c>
      <c r="W36" s="195">
        <v>2015</v>
      </c>
      <c r="X36" s="181">
        <v>2016</v>
      </c>
    </row>
    <row r="37" spans="2:24" ht="21.75" customHeight="1">
      <c r="B37" s="85" t="s">
        <v>45</v>
      </c>
      <c r="C37" s="99">
        <v>3904.3968448239566</v>
      </c>
      <c r="D37" s="100">
        <v>3967.960445623563</v>
      </c>
      <c r="E37" s="100">
        <v>4047.0311598397266</v>
      </c>
      <c r="F37" s="100">
        <v>4144.982058542091</v>
      </c>
      <c r="G37" s="100">
        <v>4254.780359539047</v>
      </c>
      <c r="H37" s="100">
        <v>4300.856686155985</v>
      </c>
      <c r="I37" s="100">
        <v>4387.3788534340165</v>
      </c>
      <c r="J37" s="100">
        <v>4463.501476952004</v>
      </c>
      <c r="K37" s="100">
        <v>4494.9430671775235</v>
      </c>
      <c r="L37" s="100">
        <v>4551.897948905752</v>
      </c>
      <c r="M37" s="100">
        <v>4508.296368669483</v>
      </c>
      <c r="N37" s="101">
        <v>4549.418913551448</v>
      </c>
      <c r="O37" s="101">
        <v>4596.588930598071</v>
      </c>
      <c r="P37" s="101">
        <v>4602.442319059387</v>
      </c>
      <c r="Q37" s="101">
        <v>4675.174487463362</v>
      </c>
      <c r="R37" s="101">
        <v>4625.640609852556</v>
      </c>
      <c r="S37" s="101">
        <v>4592.895468153737</v>
      </c>
      <c r="T37" s="101">
        <v>4498.287185500802</v>
      </c>
      <c r="U37" s="101">
        <v>4549.487020731238</v>
      </c>
      <c r="V37" s="101">
        <v>4615.01681582717</v>
      </c>
      <c r="W37" s="101">
        <v>4711.854887842931</v>
      </c>
      <c r="X37" s="171">
        <v>4829.26268608723</v>
      </c>
    </row>
    <row r="38" spans="2:24" ht="21.75" customHeight="1">
      <c r="B38" s="85" t="s">
        <v>8</v>
      </c>
      <c r="C38" s="99">
        <v>112.64489335150509</v>
      </c>
      <c r="D38" s="100">
        <v>114.36749571172734</v>
      </c>
      <c r="E38" s="100">
        <v>118.61705125541111</v>
      </c>
      <c r="F38" s="100">
        <v>122.87241527179086</v>
      </c>
      <c r="G38" s="100">
        <v>126.83120594398916</v>
      </c>
      <c r="H38" s="100">
        <v>104.67205966075467</v>
      </c>
      <c r="I38" s="100">
        <v>108.91900136330536</v>
      </c>
      <c r="J38" s="100">
        <v>110.54182437883776</v>
      </c>
      <c r="K38" s="100">
        <v>114.09979176109505</v>
      </c>
      <c r="L38" s="100">
        <v>117.0701096643725</v>
      </c>
      <c r="M38" s="100">
        <v>120.82613066490492</v>
      </c>
      <c r="N38" s="101">
        <v>119.85102451313769</v>
      </c>
      <c r="O38" s="101">
        <v>116.2463730122309</v>
      </c>
      <c r="P38" s="101">
        <v>120.5472165950099</v>
      </c>
      <c r="Q38" s="101">
        <v>118.34501907526933</v>
      </c>
      <c r="R38" s="101">
        <v>119.43510887476812</v>
      </c>
      <c r="S38" s="101">
        <v>122.8232436658405</v>
      </c>
      <c r="T38" s="101">
        <v>122.88121162023123</v>
      </c>
      <c r="U38" s="101">
        <v>122.36651215039869</v>
      </c>
      <c r="V38" s="101">
        <v>125.26082196549956</v>
      </c>
      <c r="W38" s="101">
        <v>125.10289734645143</v>
      </c>
      <c r="X38" s="171">
        <v>126.3827751576292</v>
      </c>
    </row>
    <row r="39" spans="2:24" ht="21.75" customHeight="1">
      <c r="B39" s="85" t="s">
        <v>46</v>
      </c>
      <c r="C39" s="99">
        <v>514.7284657948057</v>
      </c>
      <c r="D39" s="100">
        <v>519.3074723402809</v>
      </c>
      <c r="E39" s="100">
        <v>522.4775718300093</v>
      </c>
      <c r="F39" s="100">
        <v>525.5552769022315</v>
      </c>
      <c r="G39" s="100">
        <v>527.7253265321467</v>
      </c>
      <c r="H39" s="100">
        <v>551.2284300559636</v>
      </c>
      <c r="I39" s="100">
        <v>550.4064586271504</v>
      </c>
      <c r="J39" s="100">
        <v>541.8320172296691</v>
      </c>
      <c r="K39" s="100">
        <v>548.5824828345259</v>
      </c>
      <c r="L39" s="100">
        <v>549.7120356015313</v>
      </c>
      <c r="M39" s="100">
        <v>548.5277626994381</v>
      </c>
      <c r="N39" s="101">
        <v>546.4580916006065</v>
      </c>
      <c r="O39" s="101">
        <v>558.9344683392787</v>
      </c>
      <c r="P39" s="101">
        <v>569.6544956807959</v>
      </c>
      <c r="Q39" s="101">
        <v>548.3614794772514</v>
      </c>
      <c r="R39" s="101">
        <v>544.393734511463</v>
      </c>
      <c r="S39" s="101">
        <v>547.8456602360618</v>
      </c>
      <c r="T39" s="101">
        <v>545.7027959657847</v>
      </c>
      <c r="U39" s="101">
        <v>543.6294775091428</v>
      </c>
      <c r="V39" s="101">
        <v>539.863499724901</v>
      </c>
      <c r="W39" s="101">
        <v>550.3305789543963</v>
      </c>
      <c r="X39" s="171">
        <v>551.9902934375672</v>
      </c>
    </row>
    <row r="40" spans="2:24" ht="21.75" customHeight="1">
      <c r="B40" s="85" t="s">
        <v>47</v>
      </c>
      <c r="C40" s="99">
        <v>350.33950628200006</v>
      </c>
      <c r="D40" s="100">
        <v>355.49099858700015</v>
      </c>
      <c r="E40" s="100">
        <v>355.7339599489999</v>
      </c>
      <c r="F40" s="100">
        <v>355.9891632940001</v>
      </c>
      <c r="G40" s="100">
        <v>363.16852778799995</v>
      </c>
      <c r="H40" s="100">
        <v>371.5087931639082</v>
      </c>
      <c r="I40" s="100">
        <v>373.59388607944146</v>
      </c>
      <c r="J40" s="100">
        <v>366.12848532880463</v>
      </c>
      <c r="K40" s="100">
        <v>362.43931435149534</v>
      </c>
      <c r="L40" s="100">
        <v>369.135539779</v>
      </c>
      <c r="M40" s="100">
        <v>378.1475049220001</v>
      </c>
      <c r="N40" s="101">
        <v>390.15189861600004</v>
      </c>
      <c r="O40" s="101">
        <v>397.223456999</v>
      </c>
      <c r="P40" s="101">
        <v>412.72694044400004</v>
      </c>
      <c r="Q40" s="101">
        <v>405.3274183389171</v>
      </c>
      <c r="R40" s="101">
        <v>407.3195677458399</v>
      </c>
      <c r="S40" s="101">
        <v>415.54388275838005</v>
      </c>
      <c r="T40" s="101">
        <v>421.05242182606406</v>
      </c>
      <c r="U40" s="101">
        <v>426.7686075116793</v>
      </c>
      <c r="V40" s="101">
        <v>433.81444617924</v>
      </c>
      <c r="W40" s="101">
        <v>442.6742133727001</v>
      </c>
      <c r="X40" s="171">
        <v>450.0524455557585</v>
      </c>
    </row>
    <row r="41" spans="2:24" ht="21.75" customHeight="1">
      <c r="B41" s="85" t="s">
        <v>1</v>
      </c>
      <c r="C41" s="99">
        <v>73.71903011209119</v>
      </c>
      <c r="D41" s="100">
        <v>74.88954108527673</v>
      </c>
      <c r="E41" s="100">
        <v>75.67054402780744</v>
      </c>
      <c r="F41" s="100">
        <v>76.85262198072537</v>
      </c>
      <c r="G41" s="100">
        <v>78.51509682077854</v>
      </c>
      <c r="H41" s="100">
        <v>80.0924826697441</v>
      </c>
      <c r="I41" s="100">
        <v>80.89515498490023</v>
      </c>
      <c r="J41" s="100">
        <v>81.67139268915017</v>
      </c>
      <c r="K41" s="100">
        <v>82.09006979555612</v>
      </c>
      <c r="L41" s="100">
        <v>85.34013743624409</v>
      </c>
      <c r="M41" s="100">
        <v>86.08519745887872</v>
      </c>
      <c r="N41" s="101">
        <v>87.85912816090782</v>
      </c>
      <c r="O41" s="101">
        <v>89.97241998789852</v>
      </c>
      <c r="P41" s="101">
        <v>93.54354812448204</v>
      </c>
      <c r="Q41" s="101">
        <v>93.45798241195453</v>
      </c>
      <c r="R41" s="101">
        <v>96.12143266802344</v>
      </c>
      <c r="S41" s="101">
        <v>97.3460186098992</v>
      </c>
      <c r="T41" s="101">
        <v>98.92246983318948</v>
      </c>
      <c r="U41" s="101">
        <v>99.36466294826151</v>
      </c>
      <c r="V41" s="101">
        <v>100.67064467596639</v>
      </c>
      <c r="W41" s="101">
        <v>102.14946262726792</v>
      </c>
      <c r="X41" s="171">
        <v>105.6298695717889</v>
      </c>
    </row>
    <row r="42" spans="2:24" ht="21.75" customHeight="1">
      <c r="B42" s="85" t="s">
        <v>49</v>
      </c>
      <c r="C42" s="102">
        <v>347.903</v>
      </c>
      <c r="D42" s="103">
        <v>368.01300000000003</v>
      </c>
      <c r="E42" s="103">
        <v>392.14500000000004</v>
      </c>
      <c r="F42" s="103">
        <v>411.2495</v>
      </c>
      <c r="G42" s="103">
        <v>427.33750000000003</v>
      </c>
      <c r="H42" s="103">
        <v>459.5135</v>
      </c>
      <c r="I42" s="103">
        <v>455.49150000000003</v>
      </c>
      <c r="J42" s="103">
        <v>447.44750000000005</v>
      </c>
      <c r="K42" s="103">
        <v>465.54650000000004</v>
      </c>
      <c r="L42" s="103">
        <v>495.71150000000006</v>
      </c>
      <c r="M42" s="100">
        <v>529.8985</v>
      </c>
      <c r="N42" s="101">
        <v>552.0195</v>
      </c>
      <c r="O42" s="101">
        <v>575.1460000000001</v>
      </c>
      <c r="P42" s="101">
        <v>563.411748707267</v>
      </c>
      <c r="Q42" s="101">
        <v>524.435007347586</v>
      </c>
      <c r="R42" s="101">
        <v>534.708505187598</v>
      </c>
      <c r="S42" s="101">
        <v>576.832505914575</v>
      </c>
      <c r="T42" s="101">
        <v>570.133968862201</v>
      </c>
      <c r="U42" s="101">
        <v>579.5954015893</v>
      </c>
      <c r="V42" s="101">
        <v>609.555033702514</v>
      </c>
      <c r="W42" s="101">
        <v>639.601966172846</v>
      </c>
      <c r="X42" s="171">
        <v>713.488868917917</v>
      </c>
    </row>
    <row r="43" spans="2:24" ht="21.75" customHeight="1">
      <c r="B43" s="85" t="s">
        <v>48</v>
      </c>
      <c r="C43" s="102">
        <v>30.863906357469897</v>
      </c>
      <c r="D43" s="103">
        <v>30.585853147042243</v>
      </c>
      <c r="E43" s="103">
        <v>30.307799936614586</v>
      </c>
      <c r="F43" s="103">
        <v>29.960233423580018</v>
      </c>
      <c r="G43" s="103">
        <v>29.612666910545446</v>
      </c>
      <c r="H43" s="103">
        <v>28.98704718708322</v>
      </c>
      <c r="I43" s="103">
        <v>29.195587094903964</v>
      </c>
      <c r="J43" s="103">
        <v>30.10901308779163</v>
      </c>
      <c r="K43" s="103">
        <v>29.970021776784698</v>
      </c>
      <c r="L43" s="103">
        <v>29.618143971961665</v>
      </c>
      <c r="M43" s="100">
        <v>28.8903608040052</v>
      </c>
      <c r="N43" s="101">
        <v>28.2088774707559</v>
      </c>
      <c r="O43" s="101">
        <v>27.9660812969169</v>
      </c>
      <c r="P43" s="101">
        <v>31.8688773749607</v>
      </c>
      <c r="Q43" s="101">
        <v>26.6595075212392</v>
      </c>
      <c r="R43" s="101">
        <v>24.734701904423</v>
      </c>
      <c r="S43" s="101">
        <v>22.4358894645507</v>
      </c>
      <c r="T43" s="101">
        <v>20.7245939721202</v>
      </c>
      <c r="U43" s="101">
        <v>21.041720136158</v>
      </c>
      <c r="V43" s="101">
        <v>21.5960056366996</v>
      </c>
      <c r="W43" s="101">
        <v>21.6587392469416</v>
      </c>
      <c r="X43" s="171">
        <v>25.0472784197707</v>
      </c>
    </row>
    <row r="44" spans="2:24" ht="21.75" customHeight="1">
      <c r="B44" s="86" t="s">
        <v>50</v>
      </c>
      <c r="C44" s="104">
        <f>SUM(C37:C43)</f>
        <v>5334.595646721828</v>
      </c>
      <c r="D44" s="105">
        <f aca="true" t="shared" si="0" ref="D44:X44">SUM(D37:D43)</f>
        <v>5430.614806494889</v>
      </c>
      <c r="E44" s="105">
        <f t="shared" si="0"/>
        <v>5541.983086838568</v>
      </c>
      <c r="F44" s="105">
        <f t="shared" si="0"/>
        <v>5667.461269414418</v>
      </c>
      <c r="G44" s="105">
        <f t="shared" si="0"/>
        <v>5807.970683534506</v>
      </c>
      <c r="H44" s="105">
        <f t="shared" si="0"/>
        <v>5896.858998893438</v>
      </c>
      <c r="I44" s="105">
        <f t="shared" si="0"/>
        <v>5985.880441583718</v>
      </c>
      <c r="J44" s="105">
        <f t="shared" si="0"/>
        <v>6041.231709666257</v>
      </c>
      <c r="K44" s="105">
        <f t="shared" si="0"/>
        <v>6097.671247696981</v>
      </c>
      <c r="L44" s="105">
        <f t="shared" si="0"/>
        <v>6198.485415358861</v>
      </c>
      <c r="M44" s="105">
        <f t="shared" si="0"/>
        <v>6200.67182521871</v>
      </c>
      <c r="N44" s="105">
        <f t="shared" si="0"/>
        <v>6273.967433912856</v>
      </c>
      <c r="O44" s="105">
        <f t="shared" si="0"/>
        <v>6362.077730233395</v>
      </c>
      <c r="P44" s="105">
        <f t="shared" si="0"/>
        <v>6394.195145985903</v>
      </c>
      <c r="Q44" s="105">
        <f t="shared" si="0"/>
        <v>6391.760901635579</v>
      </c>
      <c r="R44" s="105">
        <f t="shared" si="0"/>
        <v>6352.353660744671</v>
      </c>
      <c r="S44" s="105">
        <f t="shared" si="0"/>
        <v>6375.722668803045</v>
      </c>
      <c r="T44" s="105">
        <f t="shared" si="0"/>
        <v>6277.704647580393</v>
      </c>
      <c r="U44" s="105">
        <f t="shared" si="0"/>
        <v>6342.253402576179</v>
      </c>
      <c r="V44" s="105">
        <f t="shared" si="0"/>
        <v>6445.77726771199</v>
      </c>
      <c r="W44" s="105">
        <f t="shared" si="0"/>
        <v>6593.372745563535</v>
      </c>
      <c r="X44" s="171">
        <f t="shared" si="0"/>
        <v>6801.854217147661</v>
      </c>
    </row>
  </sheetData>
  <sheetProtection/>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64"/>
  <sheetViews>
    <sheetView zoomScalePageLayoutView="0" workbookViewId="0" topLeftCell="A4">
      <selection activeCell="G33" sqref="G33"/>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40"/>
      <c r="C1" s="30"/>
      <c r="D1" s="30"/>
      <c r="E1" s="30"/>
      <c r="F1" s="30"/>
      <c r="G1" s="30"/>
      <c r="H1" s="30"/>
      <c r="I1" s="30"/>
      <c r="J1" s="31" t="s">
        <v>87</v>
      </c>
    </row>
    <row r="2" spans="1:11" s="19" customFormat="1" ht="30" customHeight="1">
      <c r="A2"/>
      <c r="B2" s="509" t="s">
        <v>110</v>
      </c>
      <c r="C2" s="510"/>
      <c r="D2" s="510"/>
      <c r="E2" s="510"/>
      <c r="F2" s="510"/>
      <c r="G2" s="510"/>
      <c r="H2" s="510"/>
      <c r="I2" s="510"/>
      <c r="J2" s="510"/>
      <c r="K2"/>
    </row>
    <row r="3" spans="2:10" ht="15" customHeight="1">
      <c r="B3" s="510" t="s">
        <v>0</v>
      </c>
      <c r="C3" s="510"/>
      <c r="D3" s="510"/>
      <c r="E3" s="510"/>
      <c r="F3" s="510"/>
      <c r="G3" s="510"/>
      <c r="H3" s="510"/>
      <c r="I3" s="510"/>
      <c r="J3" s="510"/>
    </row>
    <row r="4" spans="2:11" s="22" customFormat="1" ht="13.5" customHeight="1">
      <c r="B4" s="511" t="s">
        <v>107</v>
      </c>
      <c r="C4" s="511"/>
      <c r="D4" s="511"/>
      <c r="E4" s="511"/>
      <c r="F4" s="511"/>
      <c r="G4" s="511"/>
      <c r="H4" s="511"/>
      <c r="I4" s="511"/>
      <c r="J4" s="511"/>
      <c r="K4"/>
    </row>
    <row r="5" spans="2:11" s="20" customFormat="1" ht="19.5" customHeight="1">
      <c r="B5" s="29"/>
      <c r="C5" s="512" t="s">
        <v>80</v>
      </c>
      <c r="D5" s="512" t="s">
        <v>9</v>
      </c>
      <c r="E5" s="512" t="s">
        <v>2</v>
      </c>
      <c r="F5" s="512" t="s">
        <v>81</v>
      </c>
      <c r="G5" s="512" t="s">
        <v>1</v>
      </c>
      <c r="H5" s="512" t="s">
        <v>49</v>
      </c>
      <c r="I5" s="514" t="s">
        <v>48</v>
      </c>
      <c r="J5" s="512" t="s">
        <v>50</v>
      </c>
      <c r="K5" s="27"/>
    </row>
    <row r="6" spans="2:11" s="20" customFormat="1" ht="19.5" customHeight="1">
      <c r="B6" s="29"/>
      <c r="C6" s="513"/>
      <c r="D6" s="513"/>
      <c r="E6" s="513"/>
      <c r="F6" s="513"/>
      <c r="G6" s="513"/>
      <c r="H6" s="513"/>
      <c r="I6" s="513"/>
      <c r="J6" s="513"/>
      <c r="K6" s="27"/>
    </row>
    <row r="7" spans="2:11" s="20" customFormat="1" ht="12.75" customHeight="1">
      <c r="B7" s="98">
        <v>1995</v>
      </c>
      <c r="C7" s="146">
        <v>3904.3968448239566</v>
      </c>
      <c r="D7" s="146">
        <v>112.64489335150509</v>
      </c>
      <c r="E7" s="146">
        <v>514.7284657948057</v>
      </c>
      <c r="F7" s="147">
        <v>350.33950628200006</v>
      </c>
      <c r="G7" s="146">
        <v>73.71903011209119</v>
      </c>
      <c r="H7" s="148">
        <v>347.903</v>
      </c>
      <c r="I7" s="146">
        <v>30.863906357469897</v>
      </c>
      <c r="J7" s="150">
        <f aca="true" t="shared" si="0" ref="J7:J21">SUM(C7:I7)</f>
        <v>5334.595646721828</v>
      </c>
      <c r="K7" s="27"/>
    </row>
    <row r="8" spans="1:11" s="20" customFormat="1" ht="12.75" customHeight="1">
      <c r="A8" s="22"/>
      <c r="B8" s="58">
        <v>1996</v>
      </c>
      <c r="C8" s="148">
        <v>3967.960445623563</v>
      </c>
      <c r="D8" s="148">
        <v>114.36749571172734</v>
      </c>
      <c r="E8" s="148">
        <v>519.3074723402809</v>
      </c>
      <c r="F8" s="149">
        <v>355.49099858700015</v>
      </c>
      <c r="G8" s="148">
        <v>74.88954108527673</v>
      </c>
      <c r="H8" s="148">
        <v>368.01300000000003</v>
      </c>
      <c r="I8" s="148">
        <v>30.585853147042243</v>
      </c>
      <c r="J8" s="151">
        <f t="shared" si="0"/>
        <v>5430.614806494889</v>
      </c>
      <c r="K8" s="27"/>
    </row>
    <row r="9" spans="1:11" s="20" customFormat="1" ht="12.75" customHeight="1">
      <c r="A9" s="22"/>
      <c r="B9" s="58">
        <v>1997</v>
      </c>
      <c r="C9" s="148">
        <v>4047.0311598397266</v>
      </c>
      <c r="D9" s="148">
        <v>118.61705125541111</v>
      </c>
      <c r="E9" s="148">
        <v>522.4775718300093</v>
      </c>
      <c r="F9" s="149">
        <v>355.7339599489999</v>
      </c>
      <c r="G9" s="148">
        <v>75.67054402780744</v>
      </c>
      <c r="H9" s="148">
        <v>392.14500000000004</v>
      </c>
      <c r="I9" s="148">
        <v>30.307799936614586</v>
      </c>
      <c r="J9" s="151">
        <f t="shared" si="0"/>
        <v>5541.983086838568</v>
      </c>
      <c r="K9" s="27"/>
    </row>
    <row r="10" spans="1:11" s="20" customFormat="1" ht="12.75" customHeight="1">
      <c r="A10" s="22"/>
      <c r="B10" s="58">
        <v>1998</v>
      </c>
      <c r="C10" s="148">
        <v>4144.982058542091</v>
      </c>
      <c r="D10" s="148">
        <v>122.87241527179086</v>
      </c>
      <c r="E10" s="148">
        <v>525.5552769022315</v>
      </c>
      <c r="F10" s="149">
        <v>355.9891632940001</v>
      </c>
      <c r="G10" s="148">
        <v>76.85262198072537</v>
      </c>
      <c r="H10" s="148">
        <v>411.2495</v>
      </c>
      <c r="I10" s="148">
        <v>29.960233423580018</v>
      </c>
      <c r="J10" s="151">
        <f t="shared" si="0"/>
        <v>5667.461269414418</v>
      </c>
      <c r="K10" s="27"/>
    </row>
    <row r="11" spans="2:11" s="22" customFormat="1" ht="12.75" customHeight="1">
      <c r="B11" s="58">
        <v>1999</v>
      </c>
      <c r="C11" s="148">
        <v>4254.780359539047</v>
      </c>
      <c r="D11" s="148">
        <v>126.83120594398916</v>
      </c>
      <c r="E11" s="148">
        <v>527.7253265321467</v>
      </c>
      <c r="F11" s="149">
        <v>363.16852778799995</v>
      </c>
      <c r="G11" s="148">
        <v>78.51509682077854</v>
      </c>
      <c r="H11" s="148">
        <v>427.33750000000003</v>
      </c>
      <c r="I11" s="148">
        <v>29.612666910545446</v>
      </c>
      <c r="J11" s="151">
        <f t="shared" si="0"/>
        <v>5807.970683534506</v>
      </c>
      <c r="K11" s="20"/>
    </row>
    <row r="12" spans="2:11" s="22" customFormat="1" ht="12.75" customHeight="1">
      <c r="B12" s="58">
        <v>2000</v>
      </c>
      <c r="C12" s="148">
        <v>4300.856686155985</v>
      </c>
      <c r="D12" s="148">
        <v>104.67205966075467</v>
      </c>
      <c r="E12" s="148">
        <v>551.2284300559636</v>
      </c>
      <c r="F12" s="149">
        <v>371.5087931639082</v>
      </c>
      <c r="G12" s="148">
        <v>80.0924826697441</v>
      </c>
      <c r="H12" s="148">
        <v>459.5135</v>
      </c>
      <c r="I12" s="148">
        <v>28.98704718708322</v>
      </c>
      <c r="J12" s="151">
        <f t="shared" si="0"/>
        <v>5896.858998893438</v>
      </c>
      <c r="K12" s="20"/>
    </row>
    <row r="13" spans="2:11" s="22" customFormat="1" ht="21.75" customHeight="1">
      <c r="B13" s="58">
        <v>2001</v>
      </c>
      <c r="C13" s="148">
        <v>4387.3788534340165</v>
      </c>
      <c r="D13" s="148">
        <v>108.91900136330536</v>
      </c>
      <c r="E13" s="148">
        <v>550.4064586271504</v>
      </c>
      <c r="F13" s="149">
        <v>373.59388607944146</v>
      </c>
      <c r="G13" s="148">
        <v>80.89515498490023</v>
      </c>
      <c r="H13" s="148">
        <v>455.49150000000003</v>
      </c>
      <c r="I13" s="148">
        <v>29.195587094903964</v>
      </c>
      <c r="J13" s="151">
        <f t="shared" si="0"/>
        <v>5985.880441583718</v>
      </c>
      <c r="K13" s="20"/>
    </row>
    <row r="14" spans="2:11" s="22" customFormat="1" ht="12.75" customHeight="1">
      <c r="B14" s="58">
        <v>2002</v>
      </c>
      <c r="C14" s="148">
        <v>4463.501476952004</v>
      </c>
      <c r="D14" s="148">
        <v>110.54182437883776</v>
      </c>
      <c r="E14" s="148">
        <v>541.8320172296691</v>
      </c>
      <c r="F14" s="149">
        <v>366.12848532880463</v>
      </c>
      <c r="G14" s="148">
        <v>81.67139268915017</v>
      </c>
      <c r="H14" s="148">
        <v>447.44750000000005</v>
      </c>
      <c r="I14" s="148">
        <v>30.10901308779163</v>
      </c>
      <c r="J14" s="151">
        <f t="shared" si="0"/>
        <v>6041.231709666257</v>
      </c>
      <c r="K14" s="20"/>
    </row>
    <row r="15" spans="1:11" s="22" customFormat="1" ht="12.75" customHeight="1">
      <c r="A15" s="21"/>
      <c r="B15" s="58">
        <v>2003</v>
      </c>
      <c r="C15" s="148">
        <v>4494.9430671775235</v>
      </c>
      <c r="D15" s="148">
        <v>114.09979176109505</v>
      </c>
      <c r="E15" s="148">
        <v>548.5824828345259</v>
      </c>
      <c r="F15" s="149">
        <v>362.43931435149534</v>
      </c>
      <c r="G15" s="148">
        <v>82.09006979555612</v>
      </c>
      <c r="H15" s="148">
        <v>465.54650000000004</v>
      </c>
      <c r="I15" s="148">
        <v>29.970021776784698</v>
      </c>
      <c r="J15" s="151">
        <f t="shared" si="0"/>
        <v>6097.671247696981</v>
      </c>
      <c r="K15" s="20"/>
    </row>
    <row r="16" spans="1:11" s="22" customFormat="1" ht="12.75" customHeight="1">
      <c r="A16" s="21"/>
      <c r="B16" s="58">
        <v>2004</v>
      </c>
      <c r="C16" s="148">
        <v>4551.897948905752</v>
      </c>
      <c r="D16" s="148">
        <v>117.0701096643725</v>
      </c>
      <c r="E16" s="148">
        <v>549.7120356015313</v>
      </c>
      <c r="F16" s="149">
        <v>369.135539779</v>
      </c>
      <c r="G16" s="148">
        <v>85.34013743624409</v>
      </c>
      <c r="H16" s="148">
        <v>495.71150000000006</v>
      </c>
      <c r="I16" s="148">
        <v>29.618143971961665</v>
      </c>
      <c r="J16" s="151">
        <f t="shared" si="0"/>
        <v>6198.485415358861</v>
      </c>
      <c r="K16" s="20"/>
    </row>
    <row r="17" spans="2:11" s="22" customFormat="1" ht="12.75" customHeight="1">
      <c r="B17" s="58">
        <v>2005</v>
      </c>
      <c r="C17" s="148">
        <v>4508.296368669483</v>
      </c>
      <c r="D17" s="148">
        <v>120.82613066490492</v>
      </c>
      <c r="E17" s="148">
        <v>548.5277626994381</v>
      </c>
      <c r="F17" s="149">
        <v>378.1475049220001</v>
      </c>
      <c r="G17" s="148">
        <v>86.08519745887872</v>
      </c>
      <c r="H17" s="148">
        <v>529.8985</v>
      </c>
      <c r="I17" s="148">
        <v>28.8903608040052</v>
      </c>
      <c r="J17" s="151">
        <f t="shared" si="0"/>
        <v>6200.67182521871</v>
      </c>
      <c r="K17" s="20"/>
    </row>
    <row r="18" spans="1:11" s="21" customFormat="1" ht="12.75" customHeight="1">
      <c r="A18" s="27"/>
      <c r="B18" s="58">
        <v>2006</v>
      </c>
      <c r="C18" s="148">
        <v>4549.418913551448</v>
      </c>
      <c r="D18" s="148">
        <v>119.85102451313769</v>
      </c>
      <c r="E18" s="148">
        <v>546.4580916006065</v>
      </c>
      <c r="F18" s="149">
        <v>390.15189861600004</v>
      </c>
      <c r="G18" s="148">
        <v>87.85912816090782</v>
      </c>
      <c r="H18" s="148">
        <v>552.0195</v>
      </c>
      <c r="I18" s="148">
        <v>28.2088774707559</v>
      </c>
      <c r="J18" s="151">
        <f t="shared" si="0"/>
        <v>6273.967433912856</v>
      </c>
      <c r="K18" s="20"/>
    </row>
    <row r="19" spans="1:11" s="21" customFormat="1" ht="12.75" customHeight="1">
      <c r="A19" s="22"/>
      <c r="B19" s="58">
        <v>2007</v>
      </c>
      <c r="C19" s="148">
        <v>4596.588930598071</v>
      </c>
      <c r="D19" s="148">
        <v>116.2463730122309</v>
      </c>
      <c r="E19" s="148">
        <v>558.9344683392787</v>
      </c>
      <c r="F19" s="149">
        <v>397.223456999</v>
      </c>
      <c r="G19" s="148">
        <v>89.97241998789852</v>
      </c>
      <c r="H19" s="148">
        <v>575.1460000000001</v>
      </c>
      <c r="I19" s="148">
        <v>27.9660812969169</v>
      </c>
      <c r="J19" s="151">
        <f t="shared" si="0"/>
        <v>6362.077730233395</v>
      </c>
      <c r="K19" s="20"/>
    </row>
    <row r="20" spans="1:11" s="21" customFormat="1" ht="12.75" customHeight="1">
      <c r="A20" s="22"/>
      <c r="B20" s="58">
        <v>2008</v>
      </c>
      <c r="C20" s="148">
        <v>4602.442319059387</v>
      </c>
      <c r="D20" s="148">
        <v>120.5472165950099</v>
      </c>
      <c r="E20" s="148">
        <v>569.6544956807959</v>
      </c>
      <c r="F20" s="149">
        <v>412.72694044400004</v>
      </c>
      <c r="G20" s="148">
        <v>93.54354812448204</v>
      </c>
      <c r="H20" s="148">
        <v>563.411748707267</v>
      </c>
      <c r="I20" s="148">
        <v>31.8688773749607</v>
      </c>
      <c r="J20" s="151">
        <f t="shared" si="0"/>
        <v>6394.195145985903</v>
      </c>
      <c r="K20" s="20"/>
    </row>
    <row r="21" spans="1:11" s="21" customFormat="1" ht="12.75" customHeight="1">
      <c r="A21" s="22"/>
      <c r="B21" s="58">
        <v>2009</v>
      </c>
      <c r="C21" s="148">
        <v>4675.174487463362</v>
      </c>
      <c r="D21" s="148">
        <v>118.34501907526933</v>
      </c>
      <c r="E21" s="148">
        <v>548.3614794772514</v>
      </c>
      <c r="F21" s="149">
        <v>405.3274183389171</v>
      </c>
      <c r="G21" s="148">
        <v>93.45798241195453</v>
      </c>
      <c r="H21" s="148">
        <v>524.435007347586</v>
      </c>
      <c r="I21" s="148">
        <v>26.6595075212392</v>
      </c>
      <c r="J21" s="151">
        <f t="shared" si="0"/>
        <v>6391.760901635579</v>
      </c>
      <c r="K21" s="20"/>
    </row>
    <row r="22" spans="1:11" s="21" customFormat="1" ht="12.75" customHeight="1">
      <c r="A22" s="22"/>
      <c r="B22" s="58">
        <v>2010</v>
      </c>
      <c r="C22" s="148">
        <v>4625.640609852556</v>
      </c>
      <c r="D22" s="148">
        <v>119.43510887476812</v>
      </c>
      <c r="E22" s="148">
        <v>544.393734511463</v>
      </c>
      <c r="F22" s="182">
        <v>407.3195677458399</v>
      </c>
      <c r="G22" s="148">
        <v>96.12143266802344</v>
      </c>
      <c r="H22" s="148">
        <v>534.708505187598</v>
      </c>
      <c r="I22" s="148">
        <v>24.734701904423</v>
      </c>
      <c r="J22" s="151">
        <f aca="true" t="shared" si="1" ref="J22:J28">SUM(C22:I22)</f>
        <v>6352.353660744671</v>
      </c>
      <c r="K22" s="20"/>
    </row>
    <row r="23" spans="1:11" s="21" customFormat="1" ht="12.75" customHeight="1">
      <c r="A23" s="22"/>
      <c r="B23" s="58">
        <v>2011</v>
      </c>
      <c r="C23" s="148">
        <v>4592.895468153737</v>
      </c>
      <c r="D23" s="148">
        <v>122.8232436658405</v>
      </c>
      <c r="E23" s="148">
        <v>547.8456602360618</v>
      </c>
      <c r="F23" s="182">
        <v>415.54388275838005</v>
      </c>
      <c r="G23" s="148">
        <v>97.3460186098992</v>
      </c>
      <c r="H23" s="148">
        <v>576.832505914575</v>
      </c>
      <c r="I23" s="148">
        <v>22.4358894645507</v>
      </c>
      <c r="J23" s="151">
        <f t="shared" si="1"/>
        <v>6375.722668803045</v>
      </c>
      <c r="K23" s="20"/>
    </row>
    <row r="24" spans="1:11" s="21" customFormat="1" ht="12.75" customHeight="1">
      <c r="A24" s="22"/>
      <c r="B24" s="58">
        <v>2012</v>
      </c>
      <c r="C24" s="148">
        <v>4498.287185500802</v>
      </c>
      <c r="D24" s="148">
        <v>122.88121162023123</v>
      </c>
      <c r="E24" s="148">
        <v>545.7027959657847</v>
      </c>
      <c r="F24" s="182">
        <v>421.05242182606406</v>
      </c>
      <c r="G24" s="148">
        <v>98.92246983318948</v>
      </c>
      <c r="H24" s="148">
        <v>570.133968862201</v>
      </c>
      <c r="I24" s="148">
        <v>20.7245939721202</v>
      </c>
      <c r="J24" s="151">
        <f t="shared" si="1"/>
        <v>6277.704647580393</v>
      </c>
      <c r="K24" s="20"/>
    </row>
    <row r="25" spans="1:11" s="21" customFormat="1" ht="12.75" customHeight="1">
      <c r="A25" s="22"/>
      <c r="B25" s="58">
        <v>2013</v>
      </c>
      <c r="C25" s="148">
        <v>4549.487020731238</v>
      </c>
      <c r="D25" s="148">
        <v>122.36651215039869</v>
      </c>
      <c r="E25" s="148">
        <v>543.6294775091428</v>
      </c>
      <c r="F25" s="182">
        <v>426.7686075116793</v>
      </c>
      <c r="G25" s="148">
        <v>99.36466294826151</v>
      </c>
      <c r="H25" s="148">
        <v>579.5954015893</v>
      </c>
      <c r="I25" s="148">
        <v>21.041720136158</v>
      </c>
      <c r="J25" s="151">
        <f t="shared" si="1"/>
        <v>6342.253402576179</v>
      </c>
      <c r="K25" s="20"/>
    </row>
    <row r="26" spans="1:11" s="21" customFormat="1" ht="12.75" customHeight="1">
      <c r="A26" s="22"/>
      <c r="B26" s="58">
        <v>2014</v>
      </c>
      <c r="C26" s="148">
        <v>4615.01681582717</v>
      </c>
      <c r="D26" s="148">
        <v>125.26082196549956</v>
      </c>
      <c r="E26" s="148">
        <v>539.863499724901</v>
      </c>
      <c r="F26" s="182">
        <v>433.81444617924</v>
      </c>
      <c r="G26" s="148">
        <v>100.67064467596639</v>
      </c>
      <c r="H26" s="148">
        <v>609.555033702514</v>
      </c>
      <c r="I26" s="148">
        <v>21.5960056366996</v>
      </c>
      <c r="J26" s="151">
        <f t="shared" si="1"/>
        <v>6445.77726771199</v>
      </c>
      <c r="K26" s="20"/>
    </row>
    <row r="27" spans="1:11" s="21" customFormat="1" ht="12.75" customHeight="1">
      <c r="A27" s="22"/>
      <c r="B27" s="58">
        <v>2015</v>
      </c>
      <c r="C27" s="148">
        <v>4711.854887842931</v>
      </c>
      <c r="D27" s="148">
        <v>125.10289734645143</v>
      </c>
      <c r="E27" s="148">
        <v>550.3305789543963</v>
      </c>
      <c r="F27" s="182">
        <v>442.6742133727001</v>
      </c>
      <c r="G27" s="148">
        <v>102.14946262726792</v>
      </c>
      <c r="H27" s="148">
        <v>639.601966172846</v>
      </c>
      <c r="I27" s="480">
        <v>21.6587392469416</v>
      </c>
      <c r="J27" s="151">
        <f t="shared" si="1"/>
        <v>6593.372745563535</v>
      </c>
      <c r="K27" s="20"/>
    </row>
    <row r="28" spans="1:11" s="21" customFormat="1" ht="12.75" customHeight="1">
      <c r="A28" s="22"/>
      <c r="B28" s="421">
        <v>2016</v>
      </c>
      <c r="C28" s="481">
        <v>4829.26268608723</v>
      </c>
      <c r="D28" s="481">
        <v>126.3827751576292</v>
      </c>
      <c r="E28" s="481">
        <v>551.9902934375672</v>
      </c>
      <c r="F28" s="482">
        <v>450.0524455557585</v>
      </c>
      <c r="G28" s="481">
        <v>105.6298695717889</v>
      </c>
      <c r="H28" s="481">
        <v>713.488868917917</v>
      </c>
      <c r="I28" s="481">
        <v>25.0472784197707</v>
      </c>
      <c r="J28" s="151">
        <f t="shared" si="1"/>
        <v>6801.854217147661</v>
      </c>
      <c r="K28" s="20"/>
    </row>
    <row r="29" spans="1:11" ht="22.5" customHeight="1">
      <c r="A29" s="38"/>
      <c r="B29" s="180" t="s">
        <v>137</v>
      </c>
      <c r="C29" s="152">
        <f>C28/C7-1</f>
        <v>0.23687803213173986</v>
      </c>
      <c r="D29" s="152">
        <f aca="true" t="shared" si="2" ref="D29:J29">D28/D7-1</f>
        <v>0.12195743097963119</v>
      </c>
      <c r="E29" s="152">
        <f t="shared" si="2"/>
        <v>0.07239123172491424</v>
      </c>
      <c r="F29" s="152">
        <f t="shared" si="2"/>
        <v>0.2846180276154644</v>
      </c>
      <c r="G29" s="152">
        <f t="shared" si="2"/>
        <v>0.43287112447324216</v>
      </c>
      <c r="H29" s="152">
        <f t="shared" si="2"/>
        <v>1.0508270090166425</v>
      </c>
      <c r="I29" s="152">
        <f t="shared" si="2"/>
        <v>-0.1884605231214168</v>
      </c>
      <c r="J29" s="163">
        <f t="shared" si="2"/>
        <v>0.2750458830609739</v>
      </c>
      <c r="K29" s="20"/>
    </row>
    <row r="30" spans="1:10" s="27" customFormat="1" ht="22.5" customHeight="1">
      <c r="A30" s="38"/>
      <c r="B30" s="155" t="s">
        <v>53</v>
      </c>
      <c r="C30" s="153">
        <f>(POWER((C28/C7),1/21)-1)</f>
        <v>0.010174771134267235</v>
      </c>
      <c r="D30" s="153">
        <f aca="true" t="shared" si="3" ref="D30:J30">(POWER((D28/D7),1/21)-1)</f>
        <v>0.0054947968495207</v>
      </c>
      <c r="E30" s="153">
        <f t="shared" si="3"/>
        <v>0.003333684934354375</v>
      </c>
      <c r="F30" s="153">
        <f t="shared" si="3"/>
        <v>0.011998141353520175</v>
      </c>
      <c r="G30" s="153">
        <f t="shared" si="3"/>
        <v>0.01727514793389573</v>
      </c>
      <c r="H30" s="153">
        <f t="shared" si="3"/>
        <v>0.03479366965040698</v>
      </c>
      <c r="I30" s="153">
        <f t="shared" si="3"/>
        <v>-0.009894639229688473</v>
      </c>
      <c r="J30" s="164">
        <f t="shared" si="3"/>
        <v>0.011637777346139355</v>
      </c>
    </row>
    <row r="31" spans="1:10" ht="22.5" customHeight="1">
      <c r="A31" s="38"/>
      <c r="B31" s="180" t="s">
        <v>138</v>
      </c>
      <c r="C31" s="152">
        <f>C28/C12-1</f>
        <v>0.12286063881926812</v>
      </c>
      <c r="D31" s="152">
        <f aca="true" t="shared" si="4" ref="D31:J31">D28/D12-1</f>
        <v>0.2074165308988818</v>
      </c>
      <c r="E31" s="152">
        <f t="shared" si="4"/>
        <v>0.0013821191724929793</v>
      </c>
      <c r="F31" s="152">
        <f t="shared" si="4"/>
        <v>0.21141801711594255</v>
      </c>
      <c r="G31" s="152">
        <f t="shared" si="4"/>
        <v>0.3188487364956145</v>
      </c>
      <c r="H31" s="152">
        <f t="shared" si="4"/>
        <v>0.5527049127347008</v>
      </c>
      <c r="I31" s="152">
        <f t="shared" si="4"/>
        <v>-0.1359148015969044</v>
      </c>
      <c r="J31" s="163">
        <f t="shared" si="4"/>
        <v>0.15347072372326487</v>
      </c>
    </row>
    <row r="32" spans="1:11" s="27" customFormat="1" ht="22.5" customHeight="1">
      <c r="A32" s="38"/>
      <c r="B32" s="155" t="s">
        <v>53</v>
      </c>
      <c r="C32" s="153">
        <f>(POWER((C28/C12),1/16)-1)</f>
        <v>0.0072687633161552245</v>
      </c>
      <c r="D32" s="153">
        <f aca="true" t="shared" si="5" ref="D32:J32">(POWER((D28/D12),1/16)-1)</f>
        <v>0.011849845821722438</v>
      </c>
      <c r="E32" s="153">
        <f t="shared" si="5"/>
        <v>8.632653372986354E-05</v>
      </c>
      <c r="F32" s="153">
        <f t="shared" si="5"/>
        <v>0.012059105978150741</v>
      </c>
      <c r="G32" s="153">
        <f t="shared" si="5"/>
        <v>0.017447916357810955</v>
      </c>
      <c r="H32" s="153">
        <f t="shared" si="5"/>
        <v>0.02788151970665842</v>
      </c>
      <c r="I32" s="153">
        <f t="shared" si="5"/>
        <v>-0.009088689994859123</v>
      </c>
      <c r="J32" s="164">
        <f t="shared" si="5"/>
        <v>0.008963396412861702</v>
      </c>
      <c r="K32"/>
    </row>
    <row r="33" spans="2:10" ht="22.5" customHeight="1">
      <c r="B33" s="179" t="s">
        <v>139</v>
      </c>
      <c r="C33" s="154">
        <f>C28/C27-1</f>
        <v>0.024917532699749056</v>
      </c>
      <c r="D33" s="154">
        <f aca="true" t="shared" si="6" ref="D33:J33">D28/D27-1</f>
        <v>0.010230600875960283</v>
      </c>
      <c r="E33" s="154">
        <f t="shared" si="6"/>
        <v>0.0030158500120496257</v>
      </c>
      <c r="F33" s="154">
        <f t="shared" si="6"/>
        <v>0.016667409033935376</v>
      </c>
      <c r="G33" s="154">
        <f t="shared" si="6"/>
        <v>0.03407171075603799</v>
      </c>
      <c r="H33" s="154">
        <f t="shared" si="6"/>
        <v>0.11552013072627698</v>
      </c>
      <c r="I33" s="154">
        <f t="shared" si="6"/>
        <v>0.15645135823441758</v>
      </c>
      <c r="J33" s="165">
        <f t="shared" si="6"/>
        <v>0.03161985218026775</v>
      </c>
    </row>
    <row r="34" spans="1:11" s="38" customFormat="1" ht="12.75">
      <c r="A34" s="20"/>
      <c r="B34"/>
      <c r="C34"/>
      <c r="D34"/>
      <c r="E34"/>
      <c r="F34"/>
      <c r="G34"/>
      <c r="H34"/>
      <c r="I34"/>
      <c r="J34"/>
      <c r="K34"/>
    </row>
    <row r="35" spans="1:10" ht="12" customHeight="1">
      <c r="A35" s="20"/>
      <c r="B35" s="516" t="s">
        <v>54</v>
      </c>
      <c r="C35" s="516"/>
      <c r="D35" s="516"/>
      <c r="E35" s="516"/>
      <c r="F35" s="516"/>
      <c r="G35" s="516"/>
      <c r="H35" s="516"/>
      <c r="I35" s="516"/>
      <c r="J35" s="516"/>
    </row>
    <row r="36" spans="1:11" s="20" customFormat="1" ht="19.5" customHeight="1">
      <c r="A36"/>
      <c r="B36" s="515" t="s">
        <v>42</v>
      </c>
      <c r="C36" s="515"/>
      <c r="D36" s="515"/>
      <c r="E36" s="515"/>
      <c r="F36" s="515"/>
      <c r="G36" s="515"/>
      <c r="H36" s="515"/>
      <c r="I36" s="515"/>
      <c r="J36" s="515"/>
      <c r="K36"/>
    </row>
    <row r="37" spans="1:11" s="20" customFormat="1" ht="19.5" customHeight="1">
      <c r="A37"/>
      <c r="B37" s="29"/>
      <c r="C37" s="512" t="s">
        <v>80</v>
      </c>
      <c r="D37" s="512" t="s">
        <v>9</v>
      </c>
      <c r="E37" s="512" t="s">
        <v>2</v>
      </c>
      <c r="F37" s="512" t="s">
        <v>81</v>
      </c>
      <c r="G37" s="512" t="s">
        <v>1</v>
      </c>
      <c r="H37" s="512" t="s">
        <v>49</v>
      </c>
      <c r="I37" s="512" t="s">
        <v>48</v>
      </c>
      <c r="J37" s="28"/>
      <c r="K37"/>
    </row>
    <row r="38" spans="1:11" s="20" customFormat="1" ht="17.25" customHeight="1">
      <c r="A38"/>
      <c r="B38" s="29"/>
      <c r="C38" s="513"/>
      <c r="D38" s="513"/>
      <c r="E38" s="513"/>
      <c r="F38" s="513"/>
      <c r="G38" s="513"/>
      <c r="H38" s="513"/>
      <c r="I38" s="513"/>
      <c r="J38" s="28"/>
      <c r="K38"/>
    </row>
    <row r="39" spans="1:11" s="20" customFormat="1" ht="12.75" customHeight="1">
      <c r="A39"/>
      <c r="B39" s="98">
        <v>1995</v>
      </c>
      <c r="C39" s="156">
        <f aca="true" t="shared" si="7" ref="C39:I39">C7/$J7*100</f>
        <v>73.19011792811803</v>
      </c>
      <c r="D39" s="156">
        <f t="shared" si="7"/>
        <v>2.111591970812759</v>
      </c>
      <c r="E39" s="156">
        <f t="shared" si="7"/>
        <v>9.648875001634142</v>
      </c>
      <c r="F39" s="156">
        <f t="shared" si="7"/>
        <v>6.567311366837855</v>
      </c>
      <c r="G39" s="156">
        <f t="shared" si="7"/>
        <v>1.3819047401913658</v>
      </c>
      <c r="H39" s="156">
        <f t="shared" si="7"/>
        <v>6.521637684269294</v>
      </c>
      <c r="I39" s="157">
        <f t="shared" si="7"/>
        <v>0.5785613081365619</v>
      </c>
      <c r="J39" s="28"/>
      <c r="K39"/>
    </row>
    <row r="40" spans="1:11" s="20" customFormat="1" ht="12.75" customHeight="1">
      <c r="A40"/>
      <c r="B40" s="58">
        <v>1996</v>
      </c>
      <c r="C40" s="144">
        <f aca="true" t="shared" si="8" ref="C40:I40">C8/$J8*100</f>
        <v>73.06650511978818</v>
      </c>
      <c r="D40" s="144">
        <f t="shared" si="8"/>
        <v>2.1059769434382725</v>
      </c>
      <c r="E40" s="144">
        <f t="shared" si="8"/>
        <v>9.562590808672367</v>
      </c>
      <c r="F40" s="144">
        <f t="shared" si="8"/>
        <v>6.546054383416057</v>
      </c>
      <c r="G40" s="144">
        <f t="shared" si="8"/>
        <v>1.379025096674332</v>
      </c>
      <c r="H40" s="144">
        <f t="shared" si="8"/>
        <v>6.7766360368602285</v>
      </c>
      <c r="I40" s="158">
        <f t="shared" si="8"/>
        <v>0.5632116111505878</v>
      </c>
      <c r="J40" s="21"/>
      <c r="K40"/>
    </row>
    <row r="41" spans="1:11" s="20" customFormat="1" ht="12.75" customHeight="1">
      <c r="A41" s="22"/>
      <c r="B41" s="58">
        <v>1997</v>
      </c>
      <c r="C41" s="144">
        <f aca="true" t="shared" si="9" ref="C41:I41">C9/$J9*100</f>
        <v>73.02496410447115</v>
      </c>
      <c r="D41" s="144">
        <f t="shared" si="9"/>
        <v>2.140335858063334</v>
      </c>
      <c r="E41" s="144">
        <f t="shared" si="9"/>
        <v>9.42762840743452</v>
      </c>
      <c r="F41" s="144">
        <f t="shared" si="9"/>
        <v>6.4188929192840405</v>
      </c>
      <c r="G41" s="144">
        <f t="shared" si="9"/>
        <v>1.3654055388136128</v>
      </c>
      <c r="H41" s="144">
        <f t="shared" si="9"/>
        <v>7.0758967296614355</v>
      </c>
      <c r="I41" s="158">
        <f t="shared" si="9"/>
        <v>0.5468764422719253</v>
      </c>
      <c r="J41" s="21"/>
      <c r="K41"/>
    </row>
    <row r="42" spans="1:10" ht="12.75" customHeight="1">
      <c r="A42" s="22"/>
      <c r="B42" s="58">
        <v>1998</v>
      </c>
      <c r="C42" s="144">
        <f aca="true" t="shared" si="10" ref="C42:I42">C10/$J10*100</f>
        <v>73.13648671780628</v>
      </c>
      <c r="D42" s="144">
        <f t="shared" si="10"/>
        <v>2.1680327298378956</v>
      </c>
      <c r="E42" s="144">
        <f t="shared" si="10"/>
        <v>9.27320456054098</v>
      </c>
      <c r="F42" s="144">
        <f t="shared" si="10"/>
        <v>6.281280918762805</v>
      </c>
      <c r="G42" s="144">
        <f t="shared" si="10"/>
        <v>1.3560325925026755</v>
      </c>
      <c r="H42" s="144">
        <f t="shared" si="10"/>
        <v>7.2563266064011716</v>
      </c>
      <c r="I42" s="158">
        <f t="shared" si="10"/>
        <v>0.5286358741482077</v>
      </c>
      <c r="J42" s="21"/>
    </row>
    <row r="43" spans="1:10" ht="12.75" customHeight="1">
      <c r="A43" s="21"/>
      <c r="B43" s="58">
        <v>1999</v>
      </c>
      <c r="C43" s="144">
        <f aca="true" t="shared" si="11" ref="C43:I43">C11/$J11*100</f>
        <v>73.25760737052744</v>
      </c>
      <c r="D43" s="144">
        <f t="shared" si="11"/>
        <v>2.183743907378069</v>
      </c>
      <c r="E43" s="144">
        <f t="shared" si="11"/>
        <v>9.086225728174535</v>
      </c>
      <c r="F43" s="144">
        <f t="shared" si="11"/>
        <v>6.252933211553155</v>
      </c>
      <c r="G43" s="144">
        <f t="shared" si="11"/>
        <v>1.3518507771288764</v>
      </c>
      <c r="H43" s="144">
        <f t="shared" si="11"/>
        <v>7.357776464187299</v>
      </c>
      <c r="I43" s="158">
        <f t="shared" si="11"/>
        <v>0.5098625410506432</v>
      </c>
      <c r="J43" s="21"/>
    </row>
    <row r="44" spans="1:10" ht="12.75" customHeight="1">
      <c r="A44" s="21"/>
      <c r="B44" s="58">
        <v>2000</v>
      </c>
      <c r="C44" s="144">
        <f aca="true" t="shared" si="12" ref="C44:I44">C12/$J12*100</f>
        <v>72.93470450901152</v>
      </c>
      <c r="D44" s="144">
        <f t="shared" si="12"/>
        <v>1.775047693702642</v>
      </c>
      <c r="E44" s="144">
        <f t="shared" si="12"/>
        <v>9.347831280337603</v>
      </c>
      <c r="F44" s="144">
        <f t="shared" si="12"/>
        <v>6.300113216775623</v>
      </c>
      <c r="G44" s="144">
        <f t="shared" si="12"/>
        <v>1.3582227875004926</v>
      </c>
      <c r="H44" s="144">
        <f t="shared" si="12"/>
        <v>7.792512930803144</v>
      </c>
      <c r="I44" s="158">
        <f t="shared" si="12"/>
        <v>0.49156758186896987</v>
      </c>
      <c r="J44" s="21"/>
    </row>
    <row r="45" spans="1:10" ht="12.75" customHeight="1">
      <c r="A45" s="22"/>
      <c r="B45" s="58">
        <v>2001</v>
      </c>
      <c r="C45" s="144">
        <f aca="true" t="shared" si="13" ref="C45:I45">C13/$J13*100</f>
        <v>73.29546415519826</v>
      </c>
      <c r="D45" s="144">
        <f t="shared" si="13"/>
        <v>1.8195986776924005</v>
      </c>
      <c r="E45" s="144">
        <f t="shared" si="13"/>
        <v>9.195079387210853</v>
      </c>
      <c r="F45" s="144">
        <f t="shared" si="13"/>
        <v>6.241252055154607</v>
      </c>
      <c r="G45" s="144">
        <f t="shared" si="13"/>
        <v>1.351432855606741</v>
      </c>
      <c r="H45" s="144">
        <f t="shared" si="13"/>
        <v>7.609431969868882</v>
      </c>
      <c r="I45" s="158">
        <f t="shared" si="13"/>
        <v>0.48774089926827086</v>
      </c>
      <c r="J45" s="24"/>
    </row>
    <row r="46" spans="1:10" ht="12.75" customHeight="1">
      <c r="A46" s="22"/>
      <c r="B46" s="58">
        <v>2002</v>
      </c>
      <c r="C46" s="144">
        <f aca="true" t="shared" si="14" ref="C46:I46">C14/$J14*100</f>
        <v>73.88396425533868</v>
      </c>
      <c r="D46" s="144">
        <f t="shared" si="14"/>
        <v>1.8297895146442669</v>
      </c>
      <c r="E46" s="144">
        <f t="shared" si="14"/>
        <v>8.968899775234778</v>
      </c>
      <c r="F46" s="144">
        <f t="shared" si="14"/>
        <v>6.060494000635362</v>
      </c>
      <c r="G46" s="144">
        <f t="shared" si="14"/>
        <v>1.3518996889073476</v>
      </c>
      <c r="H46" s="144">
        <f t="shared" si="14"/>
        <v>7.40656080587114</v>
      </c>
      <c r="I46" s="158">
        <f t="shared" si="14"/>
        <v>0.49839195936841457</v>
      </c>
      <c r="J46" s="24"/>
    </row>
    <row r="47" spans="2:11" s="22" customFormat="1" ht="12.75" customHeight="1">
      <c r="B47" s="58">
        <v>2003</v>
      </c>
      <c r="C47" s="144">
        <f aca="true" t="shared" si="15" ref="C47:I47">C15/$J15*100</f>
        <v>73.7157331805189</v>
      </c>
      <c r="D47" s="144">
        <f t="shared" si="15"/>
        <v>1.8712027448870616</v>
      </c>
      <c r="E47" s="144">
        <f t="shared" si="15"/>
        <v>8.996590018553707</v>
      </c>
      <c r="F47" s="144">
        <f t="shared" si="15"/>
        <v>5.943897262227518</v>
      </c>
      <c r="G47" s="144">
        <f t="shared" si="15"/>
        <v>1.3462527981737387</v>
      </c>
      <c r="H47" s="144">
        <f t="shared" si="15"/>
        <v>7.634824527082065</v>
      </c>
      <c r="I47" s="158">
        <f t="shared" si="15"/>
        <v>0.49149946855701715</v>
      </c>
      <c r="J47" s="35"/>
      <c r="K47"/>
    </row>
    <row r="48" spans="1:11" s="22" customFormat="1" ht="12.75" customHeight="1">
      <c r="A48"/>
      <c r="B48" s="58">
        <v>2004</v>
      </c>
      <c r="C48" s="144">
        <f aca="true" t="shared" si="16" ref="C48:I48">C16/$J16*100</f>
        <v>73.43564828961075</v>
      </c>
      <c r="D48" s="144">
        <f t="shared" si="16"/>
        <v>1.8886889589881324</v>
      </c>
      <c r="E48" s="144">
        <f t="shared" si="16"/>
        <v>8.868489619083917</v>
      </c>
      <c r="F48" s="144">
        <f t="shared" si="16"/>
        <v>5.955253824818896</v>
      </c>
      <c r="G48" s="144">
        <f t="shared" si="16"/>
        <v>1.376790162719183</v>
      </c>
      <c r="H48" s="144">
        <f t="shared" si="16"/>
        <v>7.997300417481112</v>
      </c>
      <c r="I48" s="158">
        <f t="shared" si="16"/>
        <v>0.4778287272980043</v>
      </c>
      <c r="J48" s="35"/>
      <c r="K48"/>
    </row>
    <row r="49" spans="1:11" s="21" customFormat="1" ht="12.75" customHeight="1">
      <c r="A49"/>
      <c r="B49" s="58">
        <v>2005</v>
      </c>
      <c r="C49" s="144">
        <f aca="true" t="shared" si="17" ref="C49:I49">C17/$J17*100</f>
        <v>72.7065791537914</v>
      </c>
      <c r="D49" s="144">
        <f t="shared" si="17"/>
        <v>1.94859741122718</v>
      </c>
      <c r="E49" s="144">
        <f t="shared" si="17"/>
        <v>8.846263407596005</v>
      </c>
      <c r="F49" s="144">
        <f t="shared" si="17"/>
        <v>6.098492479218767</v>
      </c>
      <c r="G49" s="144">
        <f t="shared" si="17"/>
        <v>1.388320489866311</v>
      </c>
      <c r="H49" s="144">
        <f t="shared" si="17"/>
        <v>8.54582398386016</v>
      </c>
      <c r="I49" s="158">
        <f t="shared" si="17"/>
        <v>0.4659230744401826</v>
      </c>
      <c r="J49" s="23"/>
      <c r="K49"/>
    </row>
    <row r="50" spans="1:11" s="21" customFormat="1" ht="12.75" customHeight="1">
      <c r="A50"/>
      <c r="B50" s="58">
        <v>2006</v>
      </c>
      <c r="C50" s="144">
        <f aca="true" t="shared" si="18" ref="C50:I50">C18/$J18*100</f>
        <v>72.51263194259415</v>
      </c>
      <c r="D50" s="144">
        <f t="shared" si="18"/>
        <v>1.910290829137931</v>
      </c>
      <c r="E50" s="144">
        <f t="shared" si="18"/>
        <v>8.709928723040877</v>
      </c>
      <c r="F50" s="144">
        <f t="shared" si="18"/>
        <v>6.218583419912268</v>
      </c>
      <c r="G50" s="144">
        <f t="shared" si="18"/>
        <v>1.4003759038658752</v>
      </c>
      <c r="H50" s="144">
        <f t="shared" si="18"/>
        <v>8.798571331692816</v>
      </c>
      <c r="I50" s="158">
        <f t="shared" si="18"/>
        <v>0.4496178497560834</v>
      </c>
      <c r="J50" s="23"/>
      <c r="K50"/>
    </row>
    <row r="51" spans="1:11" s="21" customFormat="1" ht="12.75" customHeight="1">
      <c r="A51"/>
      <c r="B51" s="58">
        <v>2007</v>
      </c>
      <c r="C51" s="144">
        <f aca="true" t="shared" si="19" ref="C51:I51">C19/$J19*100</f>
        <v>72.2498077751314</v>
      </c>
      <c r="D51" s="144">
        <f t="shared" si="19"/>
        <v>1.8271762455811171</v>
      </c>
      <c r="E51" s="144">
        <f t="shared" si="19"/>
        <v>8.785407724321752</v>
      </c>
      <c r="F51" s="144">
        <f t="shared" si="19"/>
        <v>6.243612131793739</v>
      </c>
      <c r="G51" s="144">
        <f t="shared" si="19"/>
        <v>1.4141986911027231</v>
      </c>
      <c r="H51" s="144">
        <f t="shared" si="19"/>
        <v>9.040222776072568</v>
      </c>
      <c r="I51" s="158">
        <f t="shared" si="19"/>
        <v>0.43957465599671247</v>
      </c>
      <c r="J51" s="23"/>
      <c r="K51"/>
    </row>
    <row r="52" spans="2:10" ht="15" customHeight="1">
      <c r="B52" s="58">
        <v>2008</v>
      </c>
      <c r="C52" s="144">
        <f aca="true" t="shared" si="20" ref="C52:I52">C20/$J20*100</f>
        <v>71.97844629356787</v>
      </c>
      <c r="D52" s="144">
        <f t="shared" si="20"/>
        <v>1.8852602062151023</v>
      </c>
      <c r="E52" s="144">
        <f t="shared" si="20"/>
        <v>8.908931971499323</v>
      </c>
      <c r="F52" s="144">
        <f t="shared" si="20"/>
        <v>6.454712923535006</v>
      </c>
      <c r="G52" s="144">
        <f t="shared" si="20"/>
        <v>1.4629448427642386</v>
      </c>
      <c r="H52" s="144">
        <f t="shared" si="20"/>
        <v>8.811300497467005</v>
      </c>
      <c r="I52" s="158">
        <f t="shared" si="20"/>
        <v>0.49840326495144727</v>
      </c>
      <c r="J52" s="93"/>
    </row>
    <row r="53" spans="2:10" ht="15" customHeight="1">
      <c r="B53" s="58">
        <v>2009</v>
      </c>
      <c r="C53" s="144">
        <f aca="true" t="shared" si="21" ref="C53:I53">C21/$J21*100</f>
        <v>73.14376365779012</v>
      </c>
      <c r="D53" s="144">
        <f t="shared" si="21"/>
        <v>1.8515245000010276</v>
      </c>
      <c r="E53" s="144">
        <f t="shared" si="21"/>
        <v>8.579192618687157</v>
      </c>
      <c r="F53" s="144">
        <f t="shared" si="21"/>
        <v>6.341404576557273</v>
      </c>
      <c r="G53" s="144">
        <f t="shared" si="21"/>
        <v>1.462163304450886</v>
      </c>
      <c r="H53" s="144">
        <f t="shared" si="21"/>
        <v>8.20485959062375</v>
      </c>
      <c r="I53" s="158">
        <f t="shared" si="21"/>
        <v>0.41709175188980135</v>
      </c>
      <c r="J53" s="159"/>
    </row>
    <row r="54" spans="2:10" ht="15" customHeight="1">
      <c r="B54" s="58">
        <v>2010</v>
      </c>
      <c r="C54" s="144">
        <f aca="true" t="shared" si="22" ref="C54:I54">C22/$J22*100</f>
        <v>72.81774373548187</v>
      </c>
      <c r="D54" s="144">
        <f t="shared" si="22"/>
        <v>1.880170961085423</v>
      </c>
      <c r="E54" s="144">
        <f t="shared" si="22"/>
        <v>8.569953179332982</v>
      </c>
      <c r="F54" s="144">
        <f t="shared" si="22"/>
        <v>6.412104701646772</v>
      </c>
      <c r="G54" s="144">
        <f t="shared" si="22"/>
        <v>1.5131624875047551</v>
      </c>
      <c r="H54" s="144">
        <f t="shared" si="22"/>
        <v>8.41748639550581</v>
      </c>
      <c r="I54" s="158">
        <f t="shared" si="22"/>
        <v>0.38937853944239326</v>
      </c>
      <c r="J54" s="159"/>
    </row>
    <row r="55" spans="2:9" ht="15" customHeight="1">
      <c r="B55" s="84">
        <v>2011</v>
      </c>
      <c r="C55" s="191">
        <f aca="true" t="shared" si="23" ref="C55:C60">C23/$J23*100</f>
        <v>72.03725297882177</v>
      </c>
      <c r="D55" s="144">
        <f aca="true" t="shared" si="24" ref="D55:I55">D23/$J23*100</f>
        <v>1.9264207376337918</v>
      </c>
      <c r="E55" s="144">
        <f t="shared" si="24"/>
        <v>8.592683350496365</v>
      </c>
      <c r="F55" s="192">
        <f t="shared" si="24"/>
        <v>6.517596582292887</v>
      </c>
      <c r="G55" s="144">
        <f t="shared" si="24"/>
        <v>1.5268232899498841</v>
      </c>
      <c r="H55" s="144">
        <f t="shared" si="24"/>
        <v>9.047327430615287</v>
      </c>
      <c r="I55" s="158">
        <f t="shared" si="24"/>
        <v>0.3518956301899928</v>
      </c>
    </row>
    <row r="56" spans="2:10" ht="12.75" customHeight="1">
      <c r="B56" s="84">
        <v>2012</v>
      </c>
      <c r="C56" s="191">
        <f t="shared" si="23"/>
        <v>71.65496687128424</v>
      </c>
      <c r="D56" s="144">
        <f aca="true" t="shared" si="25" ref="D56:I56">D24/$J24*100</f>
        <v>1.9574226332484943</v>
      </c>
      <c r="E56" s="144">
        <f t="shared" si="25"/>
        <v>8.692712171097668</v>
      </c>
      <c r="F56" s="192">
        <f t="shared" si="25"/>
        <v>6.707107859691197</v>
      </c>
      <c r="G56" s="144">
        <f t="shared" si="25"/>
        <v>1.5757745129235576</v>
      </c>
      <c r="H56" s="144">
        <f t="shared" si="25"/>
        <v>9.081885830387815</v>
      </c>
      <c r="I56" s="158">
        <f t="shared" si="25"/>
        <v>0.3301301213670199</v>
      </c>
      <c r="J56" s="21"/>
    </row>
    <row r="57" spans="2:10" ht="12.75" customHeight="1">
      <c r="B57" s="84">
        <v>2013</v>
      </c>
      <c r="C57" s="191">
        <f t="shared" si="23"/>
        <v>71.73297457467196</v>
      </c>
      <c r="D57" s="144">
        <f aca="true" t="shared" si="26" ref="D57:I57">D25/$J25*100</f>
        <v>1.9293854152956782</v>
      </c>
      <c r="E57" s="144">
        <f t="shared" si="26"/>
        <v>8.571550882661427</v>
      </c>
      <c r="F57" s="192">
        <f t="shared" si="26"/>
        <v>6.728974394784178</v>
      </c>
      <c r="G57" s="144">
        <f t="shared" si="26"/>
        <v>1.5667091275145248</v>
      </c>
      <c r="H57" s="144">
        <f t="shared" si="26"/>
        <v>9.138635194769613</v>
      </c>
      <c r="I57" s="158">
        <f t="shared" si="26"/>
        <v>0.33177041030260634</v>
      </c>
      <c r="J57" s="21"/>
    </row>
    <row r="58" spans="2:10" ht="12.75" customHeight="1">
      <c r="B58" s="84">
        <v>2014</v>
      </c>
      <c r="C58" s="191">
        <f t="shared" si="23"/>
        <v>71.59752228710391</v>
      </c>
      <c r="D58" s="144">
        <f aca="true" t="shared" si="27" ref="D58:I58">D26/$J26*100</f>
        <v>1.9433005014453824</v>
      </c>
      <c r="E58" s="144">
        <f t="shared" si="27"/>
        <v>8.375460046209948</v>
      </c>
      <c r="F58" s="192">
        <f t="shared" si="27"/>
        <v>6.730211550316692</v>
      </c>
      <c r="G58" s="144">
        <f t="shared" si="27"/>
        <v>1.5618076842376016</v>
      </c>
      <c r="H58" s="144">
        <f t="shared" si="27"/>
        <v>9.456656790731511</v>
      </c>
      <c r="I58" s="158">
        <f t="shared" si="27"/>
        <v>0.335041139954955</v>
      </c>
      <c r="J58" s="21"/>
    </row>
    <row r="59" spans="2:9" ht="11.25" customHeight="1">
      <c r="B59" s="84">
        <v>2015</v>
      </c>
      <c r="C59" s="191">
        <f t="shared" si="23"/>
        <v>71.46349932988976</v>
      </c>
      <c r="D59" s="144">
        <f aca="true" t="shared" si="28" ref="D59:I59">D27/$J27*100</f>
        <v>1.8974036835795318</v>
      </c>
      <c r="E59" s="144">
        <f t="shared" si="28"/>
        <v>8.346723296126338</v>
      </c>
      <c r="F59" s="192">
        <f t="shared" si="28"/>
        <v>6.7139267026964475</v>
      </c>
      <c r="G59" s="144">
        <f t="shared" si="28"/>
        <v>1.5492748031878063</v>
      </c>
      <c r="H59" s="144">
        <f t="shared" si="28"/>
        <v>9.700679619595498</v>
      </c>
      <c r="I59" s="158">
        <f t="shared" si="28"/>
        <v>0.32849256492460643</v>
      </c>
    </row>
    <row r="60" spans="2:9" ht="11.25" customHeight="1">
      <c r="B60" s="186">
        <v>2016</v>
      </c>
      <c r="C60" s="422">
        <f t="shared" si="23"/>
        <v>70.9992089203048</v>
      </c>
      <c r="D60" s="483">
        <f aca="true" t="shared" si="29" ref="D60:I60">D28/$J28*100</f>
        <v>1.8580635680049529</v>
      </c>
      <c r="E60" s="483">
        <f t="shared" si="29"/>
        <v>8.115291445764663</v>
      </c>
      <c r="F60" s="484">
        <f t="shared" si="29"/>
        <v>6.616614105329749</v>
      </c>
      <c r="G60" s="483">
        <f t="shared" si="29"/>
        <v>1.5529569761359057</v>
      </c>
      <c r="H60" s="483">
        <f t="shared" si="29"/>
        <v>10.489623066592518</v>
      </c>
      <c r="I60" s="423">
        <f t="shared" si="29"/>
        <v>0.36824191786742244</v>
      </c>
    </row>
    <row r="61" spans="2:9" ht="11.25" customHeight="1">
      <c r="B61" s="486" t="s">
        <v>142</v>
      </c>
      <c r="C61" s="94"/>
      <c r="D61" s="95"/>
      <c r="E61" s="95"/>
      <c r="F61" s="95"/>
      <c r="G61" s="95"/>
      <c r="H61" s="95"/>
      <c r="I61" s="95"/>
    </row>
    <row r="62" spans="2:9" ht="11.25" customHeight="1">
      <c r="B62" s="116" t="s">
        <v>5</v>
      </c>
      <c r="C62" s="95"/>
      <c r="D62" s="93"/>
      <c r="E62" s="93"/>
      <c r="F62" s="93"/>
      <c r="G62" s="93"/>
      <c r="H62" s="93"/>
      <c r="I62" s="93"/>
    </row>
    <row r="63" spans="2:9" ht="11.25" customHeight="1">
      <c r="B63" s="190" t="s">
        <v>140</v>
      </c>
      <c r="C63" s="93"/>
      <c r="D63" s="21"/>
      <c r="E63" s="21"/>
      <c r="F63" s="21"/>
      <c r="G63" s="21"/>
      <c r="H63" s="21"/>
      <c r="I63" s="21"/>
    </row>
    <row r="64" spans="2:3" ht="11.25" customHeight="1">
      <c r="B64" s="485" t="s">
        <v>141</v>
      </c>
      <c r="C64" s="21"/>
    </row>
    <row r="65" ht="11.25" customHeight="1"/>
  </sheetData>
  <sheetProtection/>
  <mergeCells count="20">
    <mergeCell ref="F5:F6"/>
    <mergeCell ref="B36:J36"/>
    <mergeCell ref="C37:C38"/>
    <mergeCell ref="D37:D38"/>
    <mergeCell ref="E37:E38"/>
    <mergeCell ref="B35:J35"/>
    <mergeCell ref="F37:F38"/>
    <mergeCell ref="G37:G38"/>
    <mergeCell ref="H37:H38"/>
    <mergeCell ref="I37:I38"/>
    <mergeCell ref="B2:J2"/>
    <mergeCell ref="B3:J3"/>
    <mergeCell ref="B4:J4"/>
    <mergeCell ref="H5:H6"/>
    <mergeCell ref="J5:J6"/>
    <mergeCell ref="E5:E6"/>
    <mergeCell ref="G5:G6"/>
    <mergeCell ref="I5:I6"/>
    <mergeCell ref="D5:D6"/>
    <mergeCell ref="C5:C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I48"/>
  <sheetViews>
    <sheetView zoomScalePageLayoutView="0" workbookViewId="0" topLeftCell="A19">
      <selection activeCell="J1" sqref="J1:AE16384"/>
    </sheetView>
  </sheetViews>
  <sheetFormatPr defaultColWidth="9.140625" defaultRowHeight="12.75"/>
  <cols>
    <col min="1" max="1" width="3.140625" style="0" customWidth="1"/>
    <col min="2" max="2" width="4.00390625" style="0" customWidth="1"/>
    <col min="3" max="6" width="10.7109375" style="0" customWidth="1"/>
    <col min="7" max="7" width="5.57421875" style="0" customWidth="1"/>
  </cols>
  <sheetData>
    <row r="1" spans="2:7" ht="15.75">
      <c r="B1" s="40"/>
      <c r="C1" s="30"/>
      <c r="D1" s="30"/>
      <c r="E1" s="30"/>
      <c r="G1" s="25" t="s">
        <v>86</v>
      </c>
    </row>
    <row r="2" spans="2:7" ht="12.75">
      <c r="B2" s="510" t="s">
        <v>82</v>
      </c>
      <c r="C2" s="510"/>
      <c r="D2" s="510"/>
      <c r="E2" s="510"/>
      <c r="F2" s="510"/>
      <c r="G2" s="510"/>
    </row>
    <row r="3" spans="2:7" ht="19.5" customHeight="1">
      <c r="B3" s="510"/>
      <c r="C3" s="510"/>
      <c r="D3" s="510"/>
      <c r="E3" s="510"/>
      <c r="F3" s="510"/>
      <c r="G3" s="510"/>
    </row>
    <row r="4" spans="2:7" ht="12.75">
      <c r="B4" s="517">
        <v>2016</v>
      </c>
      <c r="C4" s="517"/>
      <c r="D4" s="517"/>
      <c r="E4" s="517"/>
      <c r="F4" s="517"/>
      <c r="G4" s="517"/>
    </row>
    <row r="5" spans="2:6" ht="12.75">
      <c r="B5" s="518" t="s">
        <v>3</v>
      </c>
      <c r="C5" s="518"/>
      <c r="D5" s="518"/>
      <c r="E5" s="518"/>
      <c r="F5" s="518"/>
    </row>
    <row r="6" spans="2:7" ht="28.5" customHeight="1">
      <c r="B6" s="14"/>
      <c r="C6" s="123" t="s">
        <v>45</v>
      </c>
      <c r="D6" s="142" t="s">
        <v>4</v>
      </c>
      <c r="E6" s="142" t="s">
        <v>47</v>
      </c>
      <c r="F6" s="143" t="s">
        <v>1</v>
      </c>
      <c r="G6" s="41"/>
    </row>
    <row r="7" spans="2:9" ht="12.75">
      <c r="B7" s="162" t="s">
        <v>113</v>
      </c>
      <c r="C7" s="479">
        <v>81.34268686467169</v>
      </c>
      <c r="D7" s="479">
        <v>9.297562901431128</v>
      </c>
      <c r="E7" s="479">
        <v>7.580551635136403</v>
      </c>
      <c r="F7" s="479">
        <v>1.7791985987607835</v>
      </c>
      <c r="G7" s="162" t="s">
        <v>113</v>
      </c>
      <c r="H7" s="137"/>
      <c r="I7" s="136"/>
    </row>
    <row r="8" spans="2:9" ht="12.75">
      <c r="B8" s="16" t="s">
        <v>29</v>
      </c>
      <c r="C8" s="138">
        <v>81.01113055967448</v>
      </c>
      <c r="D8" s="139">
        <v>10.369966806821186</v>
      </c>
      <c r="E8" s="138">
        <v>7.651577086127682</v>
      </c>
      <c r="F8" s="138">
        <v>0.9673255473766563</v>
      </c>
      <c r="G8" s="16" t="s">
        <v>29</v>
      </c>
      <c r="H8" s="137"/>
      <c r="I8" s="136"/>
    </row>
    <row r="9" spans="2:9" ht="12.75">
      <c r="B9" s="84" t="s">
        <v>12</v>
      </c>
      <c r="C9" s="140">
        <v>79.63653047329232</v>
      </c>
      <c r="D9" s="140">
        <v>17.171130035987623</v>
      </c>
      <c r="E9" s="140">
        <v>2.0461911713646184</v>
      </c>
      <c r="F9" s="140">
        <v>1.146148319355439</v>
      </c>
      <c r="G9" s="84" t="s">
        <v>12</v>
      </c>
      <c r="H9" s="137"/>
      <c r="I9" s="136"/>
    </row>
    <row r="10" spans="2:9" ht="12.75">
      <c r="B10" s="16" t="s">
        <v>14</v>
      </c>
      <c r="C10" s="145">
        <v>66.51036661475075</v>
      </c>
      <c r="D10" s="139">
        <v>15.381655639136504</v>
      </c>
      <c r="E10" s="139">
        <v>8.043285357133652</v>
      </c>
      <c r="F10" s="139">
        <v>10.064692388979097</v>
      </c>
      <c r="G10" s="16" t="s">
        <v>14</v>
      </c>
      <c r="H10" s="137"/>
      <c r="I10" s="136"/>
    </row>
    <row r="11" spans="2:9" ht="12.75">
      <c r="B11" s="84" t="s">
        <v>25</v>
      </c>
      <c r="C11" s="193">
        <v>81.13894152865893</v>
      </c>
      <c r="D11" s="140">
        <v>9.725083079289227</v>
      </c>
      <c r="E11" s="140">
        <v>8.695174535167945</v>
      </c>
      <c r="F11" s="140">
        <v>0.44080085688390874</v>
      </c>
      <c r="G11" s="84" t="s">
        <v>25</v>
      </c>
      <c r="H11" s="137"/>
      <c r="I11" s="136"/>
    </row>
    <row r="12" spans="2:9" ht="9.75" customHeight="1">
      <c r="B12" s="16" t="s">
        <v>30</v>
      </c>
      <c r="C12" s="139">
        <v>84.25511466277487</v>
      </c>
      <c r="D12" s="139">
        <v>5.695318270403034</v>
      </c>
      <c r="E12" s="139">
        <v>8.527849216448793</v>
      </c>
      <c r="F12" s="139">
        <v>1.5217178503733106</v>
      </c>
      <c r="G12" s="16" t="s">
        <v>30</v>
      </c>
      <c r="H12" s="137"/>
      <c r="I12" s="136"/>
    </row>
    <row r="13" spans="2:9" ht="12.75">
      <c r="B13" s="84" t="s">
        <v>15</v>
      </c>
      <c r="C13" s="140">
        <v>79.49992649249513</v>
      </c>
      <c r="D13" s="140">
        <v>17.736163268641295</v>
      </c>
      <c r="E13" s="140">
        <v>1.9564109188633998</v>
      </c>
      <c r="F13" s="140">
        <v>0.8074993200001774</v>
      </c>
      <c r="G13" s="84" t="s">
        <v>15</v>
      </c>
      <c r="H13" s="137"/>
      <c r="I13" s="136"/>
    </row>
    <row r="14" spans="2:9" ht="12.75">
      <c r="B14" s="16" t="s">
        <v>33</v>
      </c>
      <c r="C14" s="139">
        <v>79.64966985081591</v>
      </c>
      <c r="D14" s="138">
        <v>17.20311874975675</v>
      </c>
      <c r="E14" s="138">
        <v>2.8815629148241433</v>
      </c>
      <c r="F14" s="138">
        <v>0.2656484846032027</v>
      </c>
      <c r="G14" s="16" t="s">
        <v>33</v>
      </c>
      <c r="H14" s="137"/>
      <c r="I14" s="136"/>
    </row>
    <row r="15" spans="2:9" ht="12.75">
      <c r="B15" s="84" t="s">
        <v>26</v>
      </c>
      <c r="C15" s="140">
        <v>80.79699015723723</v>
      </c>
      <c r="D15" s="140">
        <v>16.901888028806855</v>
      </c>
      <c r="E15" s="140">
        <v>0.9638484259524633</v>
      </c>
      <c r="F15" s="140">
        <v>1.33727338800345</v>
      </c>
      <c r="G15" s="84" t="s">
        <v>26</v>
      </c>
      <c r="H15" s="137"/>
      <c r="I15" s="136"/>
    </row>
    <row r="16" spans="2:9" ht="12.75">
      <c r="B16" s="16" t="s">
        <v>31</v>
      </c>
      <c r="C16" s="138">
        <v>80.10696470174557</v>
      </c>
      <c r="D16" s="138">
        <v>11.59860844867671</v>
      </c>
      <c r="E16" s="138">
        <v>6.476478596132</v>
      </c>
      <c r="F16" s="138">
        <v>1.8179482534457312</v>
      </c>
      <c r="G16" s="16" t="s">
        <v>31</v>
      </c>
      <c r="H16" s="137"/>
      <c r="I16" s="136"/>
    </row>
    <row r="17" spans="2:9" ht="12.75">
      <c r="B17" s="84" t="s">
        <v>32</v>
      </c>
      <c r="C17" s="140">
        <v>80.03593362165957</v>
      </c>
      <c r="D17" s="140">
        <v>8.738225086739572</v>
      </c>
      <c r="E17" s="140">
        <v>9.464632413016703</v>
      </c>
      <c r="F17" s="140">
        <v>1.7612088785841549</v>
      </c>
      <c r="G17" s="84" t="s">
        <v>32</v>
      </c>
      <c r="H17" s="137"/>
      <c r="I17" s="136"/>
    </row>
    <row r="18" spans="2:9" ht="12.75">
      <c r="B18" s="16" t="s">
        <v>44</v>
      </c>
      <c r="C18" s="139">
        <v>83.32859893468869</v>
      </c>
      <c r="D18" s="139">
        <v>12.100963796252488</v>
      </c>
      <c r="E18" s="139">
        <v>2.632166506970228</v>
      </c>
      <c r="F18" s="139">
        <v>1.9382707620885904</v>
      </c>
      <c r="G18" s="16" t="s">
        <v>44</v>
      </c>
      <c r="H18" s="137"/>
      <c r="I18" s="136"/>
    </row>
    <row r="19" spans="2:9" ht="12.75">
      <c r="B19" s="184" t="s">
        <v>34</v>
      </c>
      <c r="C19" s="185">
        <v>81.30602911506698</v>
      </c>
      <c r="D19" s="185">
        <v>11.889014042445208</v>
      </c>
      <c r="E19" s="185">
        <v>6.02148810441089</v>
      </c>
      <c r="F19" s="185">
        <v>0.7834687380769206</v>
      </c>
      <c r="G19" s="184" t="s">
        <v>34</v>
      </c>
      <c r="H19" s="137"/>
      <c r="I19" s="136"/>
    </row>
    <row r="20" spans="2:9" ht="12.75">
      <c r="B20" s="16" t="s">
        <v>13</v>
      </c>
      <c r="C20" s="139">
        <v>81.37921861608463</v>
      </c>
      <c r="D20" s="139">
        <v>18.62078138391538</v>
      </c>
      <c r="E20" s="189" t="s">
        <v>43</v>
      </c>
      <c r="F20" s="189" t="s">
        <v>43</v>
      </c>
      <c r="G20" s="16" t="s">
        <v>13</v>
      </c>
      <c r="H20" s="137"/>
      <c r="I20" s="136"/>
    </row>
    <row r="21" spans="2:9" ht="12.75">
      <c r="B21" s="184" t="s">
        <v>17</v>
      </c>
      <c r="C21" s="185">
        <v>82.76383622659598</v>
      </c>
      <c r="D21" s="185">
        <v>13.023031472326057</v>
      </c>
      <c r="E21" s="185">
        <v>3.4775721901410233</v>
      </c>
      <c r="F21" s="185">
        <v>0.7355601109369347</v>
      </c>
      <c r="G21" s="184" t="s">
        <v>17</v>
      </c>
      <c r="H21" s="137"/>
      <c r="I21" s="136"/>
    </row>
    <row r="22" spans="2:9" ht="12.75">
      <c r="B22" s="16" t="s">
        <v>18</v>
      </c>
      <c r="C22" s="139">
        <v>89.87912519598265</v>
      </c>
      <c r="D22" s="139">
        <v>9.147479775980088</v>
      </c>
      <c r="E22" s="139">
        <v>0.9733950280372532</v>
      </c>
      <c r="F22" s="189" t="s">
        <v>43</v>
      </c>
      <c r="G22" s="16" t="s">
        <v>18</v>
      </c>
      <c r="H22" s="137"/>
      <c r="I22" s="136"/>
    </row>
    <row r="23" spans="2:9" ht="12.75">
      <c r="B23" s="184" t="s">
        <v>35</v>
      </c>
      <c r="C23" s="185">
        <v>83.13169654308422</v>
      </c>
      <c r="D23" s="185">
        <v>12.261794417757443</v>
      </c>
      <c r="E23" s="185">
        <v>4.606509039158361</v>
      </c>
      <c r="F23" s="194" t="s">
        <v>43</v>
      </c>
      <c r="G23" s="184" t="s">
        <v>35</v>
      </c>
      <c r="H23" s="137"/>
      <c r="I23" s="136"/>
    </row>
    <row r="24" spans="2:9" ht="12.75">
      <c r="B24" s="16" t="s">
        <v>16</v>
      </c>
      <c r="C24" s="139">
        <v>66.51087371402492</v>
      </c>
      <c r="D24" s="139">
        <v>20.9141692107601</v>
      </c>
      <c r="E24" s="139">
        <v>8.980851430623229</v>
      </c>
      <c r="F24" s="139">
        <v>3.5941056445917456</v>
      </c>
      <c r="G24" s="16" t="s">
        <v>16</v>
      </c>
      <c r="H24" s="137"/>
      <c r="I24" s="136"/>
    </row>
    <row r="25" spans="2:9" ht="12.75">
      <c r="B25" s="184" t="s">
        <v>19</v>
      </c>
      <c r="C25" s="185">
        <v>82.60934948948025</v>
      </c>
      <c r="D25" s="185">
        <v>17.390650510519738</v>
      </c>
      <c r="E25" s="194" t="s">
        <v>43</v>
      </c>
      <c r="F25" s="194" t="s">
        <v>43</v>
      </c>
      <c r="G25" s="184" t="s">
        <v>19</v>
      </c>
      <c r="H25" s="137"/>
      <c r="I25" s="136"/>
    </row>
    <row r="26" spans="2:9" ht="12.75">
      <c r="B26" s="16" t="s">
        <v>27</v>
      </c>
      <c r="C26" s="139">
        <v>85.49914986640759</v>
      </c>
      <c r="D26" s="139">
        <v>3.0207513093252674</v>
      </c>
      <c r="E26" s="139">
        <v>10.9181442798154</v>
      </c>
      <c r="F26" s="139">
        <v>0.5619545444517551</v>
      </c>
      <c r="G26" s="16" t="s">
        <v>27</v>
      </c>
      <c r="H26" s="137"/>
      <c r="I26" s="136"/>
    </row>
    <row r="27" spans="2:9" ht="12.75">
      <c r="B27" s="184" t="s">
        <v>36</v>
      </c>
      <c r="C27" s="185">
        <v>72.59443130853245</v>
      </c>
      <c r="D27" s="185">
        <v>9.570615396943348</v>
      </c>
      <c r="E27" s="185">
        <v>11.350753523467901</v>
      </c>
      <c r="F27" s="185">
        <v>6.484199771056284</v>
      </c>
      <c r="G27" s="184" t="s">
        <v>36</v>
      </c>
      <c r="H27" s="137"/>
      <c r="I27" s="136"/>
    </row>
    <row r="28" spans="2:9" ht="12.75">
      <c r="B28" s="16" t="s">
        <v>20</v>
      </c>
      <c r="C28" s="139">
        <v>77.17026079105365</v>
      </c>
      <c r="D28" s="139">
        <v>13.92588768606904</v>
      </c>
      <c r="E28" s="139">
        <v>7.261350312187247</v>
      </c>
      <c r="F28" s="139">
        <v>1.6425012106900643</v>
      </c>
      <c r="G28" s="16" t="s">
        <v>20</v>
      </c>
      <c r="H28" s="137"/>
      <c r="I28" s="136"/>
    </row>
    <row r="29" spans="2:9" ht="12.75">
      <c r="B29" s="184" t="s">
        <v>37</v>
      </c>
      <c r="C29" s="185">
        <v>88.21662248324206</v>
      </c>
      <c r="D29" s="185">
        <v>6.588308251183432</v>
      </c>
      <c r="E29" s="185">
        <v>4.160112936582078</v>
      </c>
      <c r="F29" s="185">
        <v>1.0349563289924104</v>
      </c>
      <c r="G29" s="184" t="s">
        <v>37</v>
      </c>
      <c r="H29" s="137"/>
      <c r="I29" s="136"/>
    </row>
    <row r="30" spans="2:9" ht="12.75">
      <c r="B30" s="16" t="s">
        <v>21</v>
      </c>
      <c r="C30" s="139">
        <v>74.971378704373</v>
      </c>
      <c r="D30" s="139">
        <v>14.700688229673156</v>
      </c>
      <c r="E30" s="139">
        <v>3.9120269360653923</v>
      </c>
      <c r="F30" s="139">
        <v>6.415906129888453</v>
      </c>
      <c r="G30" s="16" t="s">
        <v>21</v>
      </c>
      <c r="H30" s="137"/>
      <c r="I30" s="136"/>
    </row>
    <row r="31" spans="2:9" ht="12.75">
      <c r="B31" s="184" t="s">
        <v>23</v>
      </c>
      <c r="C31" s="185">
        <v>86.25845775040713</v>
      </c>
      <c r="D31" s="185">
        <v>11.751099997002672</v>
      </c>
      <c r="E31" s="185">
        <v>1.990442252590182</v>
      </c>
      <c r="F31" s="194" t="s">
        <v>43</v>
      </c>
      <c r="G31" s="184" t="s">
        <v>23</v>
      </c>
      <c r="H31" s="137"/>
      <c r="I31" s="136"/>
    </row>
    <row r="32" spans="2:9" ht="12.75">
      <c r="B32" s="16" t="s">
        <v>22</v>
      </c>
      <c r="C32" s="139">
        <v>74.20522425385386</v>
      </c>
      <c r="D32" s="139">
        <v>15.704084158267872</v>
      </c>
      <c r="E32" s="139">
        <v>9.287649134230021</v>
      </c>
      <c r="F32" s="139">
        <v>0.8030424536482563</v>
      </c>
      <c r="G32" s="16" t="s">
        <v>22</v>
      </c>
      <c r="H32" s="137"/>
      <c r="I32" s="136"/>
    </row>
    <row r="33" spans="2:9" ht="12.75">
      <c r="B33" s="184" t="s">
        <v>38</v>
      </c>
      <c r="C33" s="185">
        <v>81.83910866317932</v>
      </c>
      <c r="D33" s="185">
        <v>11.851065537216176</v>
      </c>
      <c r="E33" s="185">
        <v>5.552988673283121</v>
      </c>
      <c r="F33" s="185">
        <v>0.7568371263214105</v>
      </c>
      <c r="G33" s="184" t="s">
        <v>38</v>
      </c>
      <c r="H33" s="137"/>
      <c r="I33" s="136"/>
    </row>
    <row r="34" spans="2:9" ht="12.75">
      <c r="B34" s="16" t="s">
        <v>39</v>
      </c>
      <c r="C34" s="139">
        <v>81.92989114461574</v>
      </c>
      <c r="D34" s="139">
        <v>7.045403376206718</v>
      </c>
      <c r="E34" s="139">
        <v>9.15863383524614</v>
      </c>
      <c r="F34" s="139">
        <v>1.866071643931401</v>
      </c>
      <c r="G34" s="16" t="s">
        <v>39</v>
      </c>
      <c r="H34" s="137"/>
      <c r="I34" s="136"/>
    </row>
    <row r="35" spans="2:9" ht="12.75">
      <c r="B35" s="184" t="s">
        <v>28</v>
      </c>
      <c r="C35" s="185">
        <v>85.02550134744901</v>
      </c>
      <c r="D35" s="185">
        <v>4.568173895798451</v>
      </c>
      <c r="E35" s="185">
        <v>8.662710097951601</v>
      </c>
      <c r="F35" s="185">
        <v>1.7436146588009425</v>
      </c>
      <c r="G35" s="184" t="s">
        <v>28</v>
      </c>
      <c r="H35" s="137"/>
      <c r="I35" s="136"/>
    </row>
    <row r="36" spans="2:9" ht="12.75">
      <c r="B36" s="15" t="s">
        <v>112</v>
      </c>
      <c r="C36" s="183">
        <v>88.1996638226261</v>
      </c>
      <c r="D36" s="183">
        <v>11.773558462435608</v>
      </c>
      <c r="E36" s="183">
        <v>0.026777714938285888</v>
      </c>
      <c r="F36" s="381" t="s">
        <v>43</v>
      </c>
      <c r="G36" s="15" t="s">
        <v>112</v>
      </c>
      <c r="H36" s="137"/>
      <c r="I36" s="136"/>
    </row>
    <row r="37" spans="2:9" ht="12.75">
      <c r="B37" s="184" t="s">
        <v>104</v>
      </c>
      <c r="C37" s="185">
        <v>95.78892705566392</v>
      </c>
      <c r="D37" s="185">
        <v>2.4239949362379267</v>
      </c>
      <c r="E37" s="185">
        <v>1.7870780080981505</v>
      </c>
      <c r="F37" s="194" t="s">
        <v>43</v>
      </c>
      <c r="G37" s="184" t="s">
        <v>104</v>
      </c>
      <c r="H37" s="137"/>
      <c r="I37" s="136"/>
    </row>
    <row r="38" spans="2:9" ht="12.75">
      <c r="B38" s="16" t="s">
        <v>6</v>
      </c>
      <c r="C38" s="139">
        <v>85.86437440305636</v>
      </c>
      <c r="D38" s="139">
        <v>13.144699140401148</v>
      </c>
      <c r="E38" s="139">
        <v>0.9909264565425026</v>
      </c>
      <c r="F38" s="189" t="s">
        <v>43</v>
      </c>
      <c r="G38" s="16" t="s">
        <v>6</v>
      </c>
      <c r="H38" s="137"/>
      <c r="I38" s="136"/>
    </row>
    <row r="39" spans="2:9" ht="12.75">
      <c r="B39" s="184" t="s">
        <v>105</v>
      </c>
      <c r="C39" s="185">
        <v>74.91717726717734</v>
      </c>
      <c r="D39" s="185">
        <v>22.73336083247751</v>
      </c>
      <c r="E39" s="185">
        <v>1.111858754880713</v>
      </c>
      <c r="F39" s="185">
        <v>1.2376031454644407</v>
      </c>
      <c r="G39" s="184" t="s">
        <v>105</v>
      </c>
      <c r="H39" s="137"/>
      <c r="I39" s="136"/>
    </row>
    <row r="40" spans="2:9" ht="12.75">
      <c r="B40" s="17" t="s">
        <v>24</v>
      </c>
      <c r="C40" s="141"/>
      <c r="D40" s="141"/>
      <c r="E40" s="141"/>
      <c r="F40" s="141"/>
      <c r="G40" s="17" t="s">
        <v>24</v>
      </c>
      <c r="H40" s="137"/>
      <c r="I40" s="136"/>
    </row>
    <row r="41" spans="2:9" ht="12.75">
      <c r="B41" s="362" t="s">
        <v>10</v>
      </c>
      <c r="C41" s="363">
        <v>88.59060402684563</v>
      </c>
      <c r="D41" s="363">
        <v>11.40939597315436</v>
      </c>
      <c r="E41" s="194" t="s">
        <v>43</v>
      </c>
      <c r="F41" s="194" t="s">
        <v>43</v>
      </c>
      <c r="G41" s="362" t="s">
        <v>10</v>
      </c>
      <c r="H41" s="137"/>
      <c r="I41" s="136"/>
    </row>
    <row r="42" spans="2:9" ht="12.75">
      <c r="B42" s="16" t="s">
        <v>40</v>
      </c>
      <c r="C42" s="139">
        <v>87.94468275124831</v>
      </c>
      <c r="D42" s="139">
        <v>5.860543159091217</v>
      </c>
      <c r="E42" s="139">
        <v>4.999932341916889</v>
      </c>
      <c r="F42" s="139">
        <v>1.1948417477436029</v>
      </c>
      <c r="G42" s="16" t="s">
        <v>40</v>
      </c>
      <c r="H42" s="137"/>
      <c r="I42" s="136"/>
    </row>
    <row r="43" spans="2:9" ht="12.75">
      <c r="B43" s="186" t="s">
        <v>11</v>
      </c>
      <c r="C43" s="187">
        <v>76.96900844554055</v>
      </c>
      <c r="D43" s="187">
        <v>5.021783449820253</v>
      </c>
      <c r="E43" s="187">
        <v>17.046706435762374</v>
      </c>
      <c r="F43" s="187">
        <v>0.9625016688768193</v>
      </c>
      <c r="G43" s="186" t="s">
        <v>11</v>
      </c>
      <c r="H43" s="137"/>
      <c r="I43" s="136"/>
    </row>
    <row r="45" spans="2:7" ht="12.75">
      <c r="B45" s="115" t="s">
        <v>5</v>
      </c>
      <c r="C45" s="117"/>
      <c r="D45" s="95"/>
      <c r="E45" s="95"/>
      <c r="F45" s="95"/>
      <c r="G45" s="88"/>
    </row>
    <row r="46" spans="2:6" ht="26.25" customHeight="1">
      <c r="B46" s="519" t="s">
        <v>136</v>
      </c>
      <c r="C46" s="519"/>
      <c r="D46" s="519"/>
      <c r="E46" s="519"/>
      <c r="F46" s="519"/>
    </row>
    <row r="47" spans="2:8" ht="12.75">
      <c r="B47" s="160" t="s">
        <v>113</v>
      </c>
      <c r="C47" s="161">
        <v>79.64719367325853</v>
      </c>
      <c r="D47" s="161">
        <v>9.103766074651379</v>
      </c>
      <c r="E47" s="161">
        <v>7.422543900453227</v>
      </c>
      <c r="F47" s="161">
        <v>1.7421132844363445</v>
      </c>
      <c r="G47" s="160" t="s">
        <v>113</v>
      </c>
      <c r="H47" s="137"/>
    </row>
    <row r="48" spans="2:8" ht="12.75">
      <c r="B48" s="115" t="s">
        <v>98</v>
      </c>
      <c r="H48" s="137"/>
    </row>
    <row r="49" ht="15" customHeight="1"/>
  </sheetData>
  <sheetProtection/>
  <mergeCells count="4">
    <mergeCell ref="B2:G3"/>
    <mergeCell ref="B4:G4"/>
    <mergeCell ref="B5:F5"/>
    <mergeCell ref="B46:F4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85"/>
  <sheetViews>
    <sheetView zoomScalePageLayoutView="0" workbookViewId="0" topLeftCell="A1">
      <selection activeCell="AE14" sqref="AE14"/>
    </sheetView>
  </sheetViews>
  <sheetFormatPr defaultColWidth="9.140625" defaultRowHeight="12.75"/>
  <cols>
    <col min="1" max="1" width="2.7109375" style="200" customWidth="1"/>
    <col min="2" max="2" width="5.00390625" style="199" customWidth="1"/>
    <col min="3" max="4" width="7.7109375" style="199" customWidth="1"/>
    <col min="5" max="5" width="6.7109375" style="199" customWidth="1"/>
    <col min="6" max="9" width="7.7109375" style="199" customWidth="1"/>
    <col min="10" max="10" width="6.7109375" style="199" customWidth="1"/>
    <col min="11" max="11" width="8.140625" style="199" customWidth="1"/>
    <col min="12" max="14" width="7.7109375" style="199" customWidth="1"/>
    <col min="15" max="15" width="6.7109375" style="199" customWidth="1"/>
    <col min="16" max="31" width="7.7109375" style="199" customWidth="1"/>
    <col min="32" max="32" width="7.28125" style="199" customWidth="1"/>
    <col min="33" max="33" width="4.5742187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88</v>
      </c>
    </row>
    <row r="2" spans="1:33" s="203" customFormat="1" ht="30" customHeight="1">
      <c r="A2" s="287"/>
      <c r="B2" s="520" t="s">
        <v>45</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2" ht="12" customHeight="1">
      <c r="C3" s="286"/>
      <c r="D3" s="286"/>
      <c r="E3" s="286"/>
      <c r="F3" s="286"/>
      <c r="G3" s="286"/>
      <c r="H3" s="286"/>
      <c r="I3" s="286"/>
      <c r="J3" s="286"/>
      <c r="K3" s="404"/>
      <c r="L3" s="404"/>
      <c r="M3" s="404"/>
      <c r="N3" s="404"/>
      <c r="O3" s="404"/>
      <c r="P3" s="404"/>
      <c r="Q3" s="404"/>
      <c r="R3" s="404"/>
      <c r="S3" s="404"/>
      <c r="T3" s="404"/>
      <c r="U3" s="404"/>
      <c r="V3" s="404"/>
      <c r="W3" s="404"/>
      <c r="X3" s="404"/>
      <c r="Y3" s="404"/>
      <c r="Z3" s="404"/>
      <c r="AA3" s="404"/>
      <c r="AB3" s="404"/>
      <c r="AC3" s="404"/>
      <c r="AD3" s="404"/>
      <c r="AE3" s="286" t="s">
        <v>106</v>
      </c>
      <c r="AF3" s="285"/>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275"/>
    </row>
    <row r="5" spans="2:33" ht="9.75" customHeight="1">
      <c r="B5" s="280"/>
      <c r="C5" s="279"/>
      <c r="D5" s="279"/>
      <c r="E5" s="278"/>
      <c r="F5" s="278"/>
      <c r="G5" s="278"/>
      <c r="H5" s="278"/>
      <c r="I5" s="278"/>
      <c r="J5" s="278"/>
      <c r="K5" s="278"/>
      <c r="L5" s="278"/>
      <c r="M5" s="278"/>
      <c r="N5" s="278"/>
      <c r="O5" s="278"/>
      <c r="P5" s="278"/>
      <c r="Q5" s="278"/>
      <c r="R5" s="278"/>
      <c r="S5" s="278"/>
      <c r="T5" s="278"/>
      <c r="U5" s="278"/>
      <c r="V5" s="278"/>
      <c r="W5" s="277"/>
      <c r="X5" s="277"/>
      <c r="Y5" s="277"/>
      <c r="Z5" s="277"/>
      <c r="AA5" s="277"/>
      <c r="AB5" s="277"/>
      <c r="AC5" s="277"/>
      <c r="AD5" s="277"/>
      <c r="AE5" s="277"/>
      <c r="AF5" s="276" t="s">
        <v>42</v>
      </c>
      <c r="AG5" s="275"/>
    </row>
    <row r="6" spans="2:33" ht="12.75" customHeight="1">
      <c r="B6" s="440" t="s">
        <v>113</v>
      </c>
      <c r="C6" s="465" t="s">
        <v>41</v>
      </c>
      <c r="D6" s="465" t="s">
        <v>41</v>
      </c>
      <c r="E6" s="466" t="s">
        <v>41</v>
      </c>
      <c r="F6" s="467" t="s">
        <v>41</v>
      </c>
      <c r="G6" s="467" t="s">
        <v>41</v>
      </c>
      <c r="H6" s="467" t="s">
        <v>41</v>
      </c>
      <c r="I6" s="467" t="s">
        <v>41</v>
      </c>
      <c r="J6" s="467">
        <f aca="true" t="shared" si="0" ref="J6:AE6">SUM(J7:J34)</f>
        <v>3904.3968448239566</v>
      </c>
      <c r="K6" s="467">
        <f t="shared" si="0"/>
        <v>3967.960445623563</v>
      </c>
      <c r="L6" s="467">
        <f t="shared" si="0"/>
        <v>4047.0311598397266</v>
      </c>
      <c r="M6" s="467">
        <f t="shared" si="0"/>
        <v>4144.982058542091</v>
      </c>
      <c r="N6" s="467">
        <f t="shared" si="0"/>
        <v>4254.780359539047</v>
      </c>
      <c r="O6" s="467">
        <f t="shared" si="0"/>
        <v>4300.856686155985</v>
      </c>
      <c r="P6" s="467">
        <f t="shared" si="0"/>
        <v>4387.3788534340165</v>
      </c>
      <c r="Q6" s="467">
        <f t="shared" si="0"/>
        <v>4463.501476952004</v>
      </c>
      <c r="R6" s="467">
        <f t="shared" si="0"/>
        <v>4494.9430671775235</v>
      </c>
      <c r="S6" s="467">
        <f t="shared" si="0"/>
        <v>4551.897948905752</v>
      </c>
      <c r="T6" s="467">
        <f t="shared" si="0"/>
        <v>4508.296368669483</v>
      </c>
      <c r="U6" s="467">
        <f t="shared" si="0"/>
        <v>4549.418913551448</v>
      </c>
      <c r="V6" s="467">
        <f t="shared" si="0"/>
        <v>4596.588930598071</v>
      </c>
      <c r="W6" s="467">
        <f t="shared" si="0"/>
        <v>4602.442319059387</v>
      </c>
      <c r="X6" s="468">
        <f t="shared" si="0"/>
        <v>4675.174487463362</v>
      </c>
      <c r="Y6" s="468">
        <f t="shared" si="0"/>
        <v>4625.640609852556</v>
      </c>
      <c r="Z6" s="468">
        <f t="shared" si="0"/>
        <v>4592.895468153737</v>
      </c>
      <c r="AA6" s="468">
        <f t="shared" si="0"/>
        <v>4498.287185500802</v>
      </c>
      <c r="AB6" s="468">
        <f t="shared" si="0"/>
        <v>4549.487020731238</v>
      </c>
      <c r="AC6" s="468">
        <f t="shared" si="0"/>
        <v>4615.01681582717</v>
      </c>
      <c r="AD6" s="468">
        <f t="shared" si="0"/>
        <v>4711.854887842931</v>
      </c>
      <c r="AE6" s="468">
        <f t="shared" si="0"/>
        <v>4829.26268608723</v>
      </c>
      <c r="AF6" s="469">
        <f>AE6/AD6*100-100</f>
        <v>2.4917532699749074</v>
      </c>
      <c r="AG6" s="440" t="s">
        <v>113</v>
      </c>
    </row>
    <row r="7" spans="1:33" ht="12.75" customHeight="1">
      <c r="A7" s="214"/>
      <c r="B7" s="221" t="s">
        <v>29</v>
      </c>
      <c r="C7" s="266">
        <v>41.107</v>
      </c>
      <c r="D7" s="266">
        <v>64.577</v>
      </c>
      <c r="E7" s="215">
        <v>89.4865681549422</v>
      </c>
      <c r="F7" s="215">
        <v>93.17072549415899</v>
      </c>
      <c r="G7" s="215">
        <v>94.65159259661695</v>
      </c>
      <c r="H7" s="215">
        <v>95.1590269325277</v>
      </c>
      <c r="I7" s="215">
        <v>97.61982726007605</v>
      </c>
      <c r="J7" s="215">
        <v>96.41122844758948</v>
      </c>
      <c r="K7" s="215">
        <v>96.12470075061294</v>
      </c>
      <c r="L7" s="215">
        <v>97.95004181802459</v>
      </c>
      <c r="M7" s="215">
        <v>100.14564232032866</v>
      </c>
      <c r="N7" s="215">
        <v>102.03922550781316</v>
      </c>
      <c r="O7" s="215">
        <v>102.5443853038904</v>
      </c>
      <c r="P7" s="215">
        <v>103.44056228671244</v>
      </c>
      <c r="Q7" s="215">
        <v>104.84343859901594</v>
      </c>
      <c r="R7" s="215">
        <v>102.49487951863394</v>
      </c>
      <c r="S7" s="215">
        <v>103.03402541013166</v>
      </c>
      <c r="T7" s="215">
        <v>102.80426446068903</v>
      </c>
      <c r="U7" s="215">
        <v>102.65959801049536</v>
      </c>
      <c r="V7" s="215">
        <v>104.57039703409255</v>
      </c>
      <c r="W7" s="215">
        <v>107.94287032877924</v>
      </c>
      <c r="X7" s="215">
        <v>108.07377743339944</v>
      </c>
      <c r="Y7" s="215">
        <v>109.38776021905481</v>
      </c>
      <c r="Z7" s="215">
        <v>109.96953280096133</v>
      </c>
      <c r="AA7" s="215">
        <v>110.14105828193429</v>
      </c>
      <c r="AB7" s="464">
        <v>105.293135637308</v>
      </c>
      <c r="AC7" s="215">
        <v>108.110642511651</v>
      </c>
      <c r="AD7" s="215">
        <v>107.001968595549</v>
      </c>
      <c r="AE7" s="215">
        <v>106.13976370089</v>
      </c>
      <c r="AF7" s="262">
        <f aca="true" t="shared" si="1" ref="AF7:AF42">AE7/AD7*100-100</f>
        <v>-0.805784142082473</v>
      </c>
      <c r="AG7" s="221" t="s">
        <v>29</v>
      </c>
    </row>
    <row r="8" spans="1:33" ht="12.75" customHeight="1">
      <c r="A8" s="214"/>
      <c r="B8" s="225" t="s">
        <v>12</v>
      </c>
      <c r="C8" s="239" t="s">
        <v>41</v>
      </c>
      <c r="D8" s="239" t="s">
        <v>41</v>
      </c>
      <c r="E8" s="227"/>
      <c r="F8" s="227"/>
      <c r="G8" s="227"/>
      <c r="H8" s="227"/>
      <c r="I8" s="227"/>
      <c r="J8" s="237">
        <v>25</v>
      </c>
      <c r="K8" s="237">
        <v>24.5</v>
      </c>
      <c r="L8" s="237">
        <v>23.9</v>
      </c>
      <c r="M8" s="237">
        <v>24.6</v>
      </c>
      <c r="N8" s="237">
        <v>25.4</v>
      </c>
      <c r="O8" s="237">
        <v>26.9</v>
      </c>
      <c r="P8" s="237">
        <v>27.9</v>
      </c>
      <c r="Q8" s="237">
        <v>29.3</v>
      </c>
      <c r="R8" s="237">
        <v>30.7</v>
      </c>
      <c r="S8" s="237">
        <v>32.8</v>
      </c>
      <c r="T8" s="237">
        <v>35.1</v>
      </c>
      <c r="U8" s="237">
        <v>37.6</v>
      </c>
      <c r="V8" s="237">
        <v>40.4</v>
      </c>
      <c r="W8" s="237">
        <v>43.2</v>
      </c>
      <c r="X8" s="237">
        <v>46.3</v>
      </c>
      <c r="Y8" s="237">
        <v>46.9</v>
      </c>
      <c r="Z8" s="237">
        <v>48.06803748938479</v>
      </c>
      <c r="AA8" s="237">
        <v>49.702936925862396</v>
      </c>
      <c r="AB8" s="237">
        <v>51.3641140116175</v>
      </c>
      <c r="AC8" s="237">
        <v>53.95682276375314</v>
      </c>
      <c r="AD8" s="237">
        <v>56.84608933803697</v>
      </c>
      <c r="AE8" s="237">
        <v>56.62772543455219</v>
      </c>
      <c r="AF8" s="236">
        <f t="shared" si="1"/>
        <v>-0.3841317952168595</v>
      </c>
      <c r="AG8" s="225" t="s">
        <v>12</v>
      </c>
    </row>
    <row r="9" spans="1:33" ht="12.75" customHeight="1">
      <c r="A9" s="214"/>
      <c r="B9" s="221" t="s">
        <v>14</v>
      </c>
      <c r="C9" s="253"/>
      <c r="D9" s="253"/>
      <c r="E9" s="252"/>
      <c r="F9" s="223"/>
      <c r="G9" s="223"/>
      <c r="H9" s="223">
        <v>49</v>
      </c>
      <c r="I9" s="223">
        <v>51.7</v>
      </c>
      <c r="J9" s="223">
        <v>54.5</v>
      </c>
      <c r="K9" s="223">
        <v>57.9</v>
      </c>
      <c r="L9" s="223">
        <v>59</v>
      </c>
      <c r="M9" s="242">
        <v>59.726</v>
      </c>
      <c r="N9" s="223">
        <v>62.38</v>
      </c>
      <c r="O9" s="223">
        <v>63.94</v>
      </c>
      <c r="P9" s="223">
        <v>63.47</v>
      </c>
      <c r="Q9" s="223">
        <v>65.29</v>
      </c>
      <c r="R9" s="223">
        <v>67.36</v>
      </c>
      <c r="S9" s="223">
        <v>67.57</v>
      </c>
      <c r="T9" s="223">
        <v>68.64</v>
      </c>
      <c r="U9" s="223">
        <v>69.63</v>
      </c>
      <c r="V9" s="223">
        <v>71.54</v>
      </c>
      <c r="W9" s="223">
        <v>72.38</v>
      </c>
      <c r="X9" s="272">
        <v>72.29</v>
      </c>
      <c r="Y9" s="273">
        <v>63.57</v>
      </c>
      <c r="Z9" s="272">
        <v>65.49</v>
      </c>
      <c r="AA9" s="272">
        <v>64.62</v>
      </c>
      <c r="AB9" s="272">
        <v>64.65</v>
      </c>
      <c r="AC9" s="272">
        <v>66.26</v>
      </c>
      <c r="AD9" s="272">
        <v>69.705</v>
      </c>
      <c r="AE9" s="272">
        <v>72.255</v>
      </c>
      <c r="AF9" s="271">
        <f t="shared" si="1"/>
        <v>3.6582741553690568</v>
      </c>
      <c r="AG9" s="221" t="s">
        <v>14</v>
      </c>
    </row>
    <row r="10" spans="1:33" ht="12.75" customHeight="1">
      <c r="A10" s="214"/>
      <c r="B10" s="225" t="s">
        <v>25</v>
      </c>
      <c r="C10" s="239">
        <v>33.3</v>
      </c>
      <c r="D10" s="239">
        <f>38.027+0.458</f>
        <v>38.485</v>
      </c>
      <c r="E10" s="254">
        <v>47.191</v>
      </c>
      <c r="F10" s="254">
        <v>47.865</v>
      </c>
      <c r="G10" s="254">
        <v>48.126</v>
      </c>
      <c r="H10" s="254">
        <v>47.621</v>
      </c>
      <c r="I10" s="254">
        <v>47.77</v>
      </c>
      <c r="J10" s="254">
        <v>48.389</v>
      </c>
      <c r="K10" s="254">
        <v>49.042</v>
      </c>
      <c r="L10" s="254">
        <v>49.91</v>
      </c>
      <c r="M10" s="254">
        <v>50.328</v>
      </c>
      <c r="N10" s="254">
        <v>51.307</v>
      </c>
      <c r="O10" s="254">
        <v>50.615</v>
      </c>
      <c r="P10" s="254">
        <v>49.62</v>
      </c>
      <c r="Q10" s="254">
        <v>49.454</v>
      </c>
      <c r="R10" s="254">
        <v>49.695</v>
      </c>
      <c r="S10" s="254">
        <v>50.557</v>
      </c>
      <c r="T10" s="254">
        <v>49.758</v>
      </c>
      <c r="U10" s="254">
        <v>49.648</v>
      </c>
      <c r="V10" s="254">
        <v>50.733</v>
      </c>
      <c r="W10" s="254">
        <v>51.459</v>
      </c>
      <c r="X10" s="254">
        <v>51.884</v>
      </c>
      <c r="Y10" s="254">
        <v>51.694</v>
      </c>
      <c r="Z10" s="254">
        <v>52.971</v>
      </c>
      <c r="AA10" s="254">
        <v>52.679</v>
      </c>
      <c r="AB10" s="254">
        <v>52.746</v>
      </c>
      <c r="AC10" s="254">
        <v>54.22</v>
      </c>
      <c r="AD10" s="254">
        <v>57.012</v>
      </c>
      <c r="AE10" s="254">
        <v>59.087</v>
      </c>
      <c r="AF10" s="270">
        <f t="shared" si="1"/>
        <v>3.6395846488458687</v>
      </c>
      <c r="AG10" s="225" t="s">
        <v>25</v>
      </c>
    </row>
    <row r="11" spans="1:33" s="235" customFormat="1" ht="12.75" customHeight="1">
      <c r="A11" s="240"/>
      <c r="B11" s="221" t="s">
        <v>30</v>
      </c>
      <c r="C11" s="224">
        <v>394.6</v>
      </c>
      <c r="D11" s="224">
        <v>513.7</v>
      </c>
      <c r="E11" s="223">
        <v>683.1</v>
      </c>
      <c r="F11" s="223">
        <v>700</v>
      </c>
      <c r="G11" s="223">
        <v>719.5</v>
      </c>
      <c r="H11" s="258">
        <v>729.8</v>
      </c>
      <c r="I11" s="223">
        <v>807.0219025046072</v>
      </c>
      <c r="J11" s="223">
        <v>815.2976294348988</v>
      </c>
      <c r="K11" s="223">
        <v>816.0723829598729</v>
      </c>
      <c r="L11" s="223">
        <v>817.0706670210186</v>
      </c>
      <c r="M11" s="223">
        <v>828.068802348269</v>
      </c>
      <c r="N11" s="223">
        <v>848.4200042686394</v>
      </c>
      <c r="O11" s="223">
        <v>831.2665448417845</v>
      </c>
      <c r="P11" s="223">
        <v>852.6294387699498</v>
      </c>
      <c r="Q11" s="223">
        <v>862.987</v>
      </c>
      <c r="R11" s="223">
        <v>857.736</v>
      </c>
      <c r="S11" s="223">
        <v>868.65</v>
      </c>
      <c r="T11" s="223">
        <v>856.875</v>
      </c>
      <c r="U11" s="223">
        <v>863.328</v>
      </c>
      <c r="V11" s="223">
        <v>866.5310000000001</v>
      </c>
      <c r="W11" s="223">
        <v>871.328</v>
      </c>
      <c r="X11" s="223">
        <v>881.1</v>
      </c>
      <c r="Y11" s="223">
        <v>887</v>
      </c>
      <c r="Z11" s="223">
        <v>894.4</v>
      </c>
      <c r="AA11" s="223">
        <v>896.3</v>
      </c>
      <c r="AB11" s="223">
        <v>903.1</v>
      </c>
      <c r="AC11" s="223">
        <v>916.4</v>
      </c>
      <c r="AD11" s="223">
        <v>926.9</v>
      </c>
      <c r="AE11" s="223">
        <v>946.8</v>
      </c>
      <c r="AF11" s="222">
        <f t="shared" si="1"/>
        <v>2.1469414176286534</v>
      </c>
      <c r="AG11" s="221" t="s">
        <v>30</v>
      </c>
    </row>
    <row r="12" spans="1:33" ht="12.75" customHeight="1">
      <c r="A12" s="214"/>
      <c r="B12" s="225" t="s">
        <v>15</v>
      </c>
      <c r="C12" s="239" t="s">
        <v>41</v>
      </c>
      <c r="D12" s="239" t="s">
        <v>41</v>
      </c>
      <c r="E12" s="227" t="s">
        <v>41</v>
      </c>
      <c r="F12" s="227" t="s">
        <v>41</v>
      </c>
      <c r="G12" s="227" t="s">
        <v>41</v>
      </c>
      <c r="H12" s="227" t="s">
        <v>41</v>
      </c>
      <c r="I12" s="227" t="s">
        <v>41</v>
      </c>
      <c r="J12" s="237">
        <f>3.956535*1.3</f>
        <v>5.1434955</v>
      </c>
      <c r="K12" s="237">
        <v>5.5</v>
      </c>
      <c r="L12" s="237">
        <v>5.8</v>
      </c>
      <c r="M12" s="237">
        <f>4.763427*1.3</f>
        <v>6.1924551</v>
      </c>
      <c r="N12" s="237">
        <v>6.4</v>
      </c>
      <c r="O12" s="237">
        <f>5.140089*1.3</f>
        <v>6.6821157</v>
      </c>
      <c r="P12" s="237">
        <f>5.23781*1.3</f>
        <v>6.809152999999999</v>
      </c>
      <c r="Q12" s="237">
        <f>5.430492*1.3</f>
        <v>7.059639600000001</v>
      </c>
      <c r="R12" s="237">
        <f>5.894855*1.3</f>
        <v>7.6633115</v>
      </c>
      <c r="S12" s="227">
        <v>7.813</v>
      </c>
      <c r="T12" s="227">
        <v>9.929</v>
      </c>
      <c r="U12" s="227">
        <v>9.946</v>
      </c>
      <c r="V12" s="237">
        <v>10</v>
      </c>
      <c r="W12" s="237">
        <v>10.5</v>
      </c>
      <c r="X12" s="237">
        <v>10.5</v>
      </c>
      <c r="Y12" s="237">
        <v>10.1</v>
      </c>
      <c r="Z12" s="237">
        <v>10.381082222547919</v>
      </c>
      <c r="AA12" s="237">
        <v>10.808595077153129</v>
      </c>
      <c r="AB12" s="237">
        <v>11.24613332249695</v>
      </c>
      <c r="AC12" s="237">
        <v>11.85200134241278</v>
      </c>
      <c r="AD12" s="237">
        <v>12.33194848698124</v>
      </c>
      <c r="AE12" s="237">
        <v>12.840848785603473</v>
      </c>
      <c r="AF12" s="236">
        <f t="shared" si="1"/>
        <v>4.126682001303166</v>
      </c>
      <c r="AG12" s="225" t="s">
        <v>15</v>
      </c>
    </row>
    <row r="13" spans="1:33" s="235" customFormat="1" ht="12.75" customHeight="1">
      <c r="A13" s="240"/>
      <c r="B13" s="221" t="s">
        <v>33</v>
      </c>
      <c r="C13" s="269">
        <v>10</v>
      </c>
      <c r="D13" s="269">
        <v>19</v>
      </c>
      <c r="E13" s="268">
        <v>28.507</v>
      </c>
      <c r="F13" s="268">
        <v>29.038</v>
      </c>
      <c r="G13" s="268">
        <v>29.52</v>
      </c>
      <c r="H13" s="268">
        <v>29.836</v>
      </c>
      <c r="I13" s="268">
        <v>30.56</v>
      </c>
      <c r="J13" s="268">
        <v>31.558</v>
      </c>
      <c r="K13" s="268">
        <v>32.8</v>
      </c>
      <c r="L13" s="268">
        <v>34.361</v>
      </c>
      <c r="M13" s="268">
        <v>35.756</v>
      </c>
      <c r="N13" s="268">
        <v>36.838</v>
      </c>
      <c r="O13" s="268">
        <v>34.608</v>
      </c>
      <c r="P13" s="267">
        <v>36.459</v>
      </c>
      <c r="Q13" s="267">
        <v>37.788</v>
      </c>
      <c r="R13" s="267">
        <v>39.9495</v>
      </c>
      <c r="S13" s="267">
        <v>42.627</v>
      </c>
      <c r="T13" s="267">
        <v>44.379</v>
      </c>
      <c r="U13" s="267">
        <v>45.99</v>
      </c>
      <c r="V13" s="267">
        <v>47.9595</v>
      </c>
      <c r="W13" s="267">
        <v>48.888</v>
      </c>
      <c r="X13" s="267">
        <v>48.858</v>
      </c>
      <c r="Y13" s="267">
        <v>48.0825</v>
      </c>
      <c r="Z13" s="267">
        <v>47.457</v>
      </c>
      <c r="AA13" s="267">
        <v>46.614</v>
      </c>
      <c r="AB13" s="267">
        <f>32.031*1.5</f>
        <v>48.046499999999995</v>
      </c>
      <c r="AC13" s="267">
        <f>31.457*1.5</f>
        <v>47.185500000000005</v>
      </c>
      <c r="AD13" s="267">
        <f>1.5*34.609</f>
        <v>51.9135</v>
      </c>
      <c r="AE13" s="267">
        <f>1.5*36.689</f>
        <v>55.033500000000004</v>
      </c>
      <c r="AF13" s="241">
        <f t="shared" si="1"/>
        <v>6.009997399520373</v>
      </c>
      <c r="AG13" s="221" t="s">
        <v>33</v>
      </c>
    </row>
    <row r="14" spans="1:33" ht="13.5" customHeight="1">
      <c r="A14" s="214"/>
      <c r="B14" s="225" t="s">
        <v>26</v>
      </c>
      <c r="C14" s="256">
        <v>4.5</v>
      </c>
      <c r="D14" s="256">
        <v>17.5</v>
      </c>
      <c r="E14" s="237">
        <v>35</v>
      </c>
      <c r="F14" s="237">
        <v>36</v>
      </c>
      <c r="G14" s="237">
        <v>37</v>
      </c>
      <c r="H14" s="237">
        <v>39</v>
      </c>
      <c r="I14" s="237">
        <v>42</v>
      </c>
      <c r="J14" s="237">
        <v>44</v>
      </c>
      <c r="K14" s="237">
        <v>47</v>
      </c>
      <c r="L14" s="237">
        <v>50</v>
      </c>
      <c r="M14" s="237">
        <v>53</v>
      </c>
      <c r="N14" s="237">
        <v>58</v>
      </c>
      <c r="O14" s="237">
        <v>63</v>
      </c>
      <c r="P14" s="237">
        <v>68</v>
      </c>
      <c r="Q14" s="237">
        <v>72</v>
      </c>
      <c r="R14" s="237">
        <v>76</v>
      </c>
      <c r="S14" s="237">
        <v>80</v>
      </c>
      <c r="T14" s="237">
        <v>85</v>
      </c>
      <c r="U14" s="237">
        <v>90</v>
      </c>
      <c r="V14" s="237">
        <v>95</v>
      </c>
      <c r="W14" s="237">
        <v>100</v>
      </c>
      <c r="X14" s="237">
        <v>101.3</v>
      </c>
      <c r="Y14" s="237">
        <v>99.6</v>
      </c>
      <c r="Z14" s="237">
        <v>98.32207994126013</v>
      </c>
      <c r="AA14" s="237">
        <v>96.93448152779109</v>
      </c>
      <c r="AB14" s="237">
        <v>95.8113792150171</v>
      </c>
      <c r="AC14" s="237">
        <v>96.87004146599509</v>
      </c>
      <c r="AD14" s="237">
        <v>98.27578451557844</v>
      </c>
      <c r="AE14" s="237">
        <v>99.92236297139189</v>
      </c>
      <c r="AF14" s="236">
        <f t="shared" si="1"/>
        <v>1.6754671193211834</v>
      </c>
      <c r="AG14" s="225" t="s">
        <v>26</v>
      </c>
    </row>
    <row r="15" spans="1:33" ht="12.75" customHeight="1">
      <c r="A15" s="214"/>
      <c r="B15" s="221" t="s">
        <v>31</v>
      </c>
      <c r="C15" s="266">
        <v>64.3</v>
      </c>
      <c r="D15" s="266">
        <v>130.9</v>
      </c>
      <c r="E15" s="265">
        <v>174.4</v>
      </c>
      <c r="F15" s="263">
        <v>207.542</v>
      </c>
      <c r="G15" s="264">
        <v>218.27</v>
      </c>
      <c r="H15" s="264">
        <v>229</v>
      </c>
      <c r="I15" s="264">
        <v>239.7</v>
      </c>
      <c r="J15" s="263">
        <v>250.374</v>
      </c>
      <c r="K15" s="264">
        <v>259</v>
      </c>
      <c r="L15" s="264">
        <v>267.6</v>
      </c>
      <c r="M15" s="263">
        <v>276.173</v>
      </c>
      <c r="N15" s="263">
        <v>293.54</v>
      </c>
      <c r="O15" s="263">
        <v>302.611</v>
      </c>
      <c r="P15" s="263">
        <v>307.955</v>
      </c>
      <c r="Q15" s="264">
        <v>315</v>
      </c>
      <c r="R15" s="263">
        <v>321.928</v>
      </c>
      <c r="S15" s="263">
        <v>330.192</v>
      </c>
      <c r="T15" s="263">
        <v>337.797</v>
      </c>
      <c r="U15" s="263">
        <v>340.937</v>
      </c>
      <c r="V15" s="263">
        <v>343.293</v>
      </c>
      <c r="W15" s="263">
        <v>342.611</v>
      </c>
      <c r="X15" s="263">
        <v>350.401</v>
      </c>
      <c r="Y15" s="263">
        <v>341.629</v>
      </c>
      <c r="Z15" s="263">
        <v>334.021</v>
      </c>
      <c r="AA15" s="263">
        <v>321.045</v>
      </c>
      <c r="AB15" s="263">
        <v>316.539</v>
      </c>
      <c r="AC15" s="263">
        <v>308.704</v>
      </c>
      <c r="AD15" s="263">
        <v>317.553</v>
      </c>
      <c r="AE15" s="263">
        <v>329.88</v>
      </c>
      <c r="AF15" s="262">
        <f t="shared" si="1"/>
        <v>3.8818716875608175</v>
      </c>
      <c r="AG15" s="221" t="s">
        <v>31</v>
      </c>
    </row>
    <row r="16" spans="1:33" ht="12.75" customHeight="1">
      <c r="A16" s="214"/>
      <c r="B16" s="225" t="s">
        <v>32</v>
      </c>
      <c r="C16" s="239">
        <v>304.7</v>
      </c>
      <c r="D16" s="239">
        <v>443.84071500000005</v>
      </c>
      <c r="E16" s="227">
        <v>592.4626365733575</v>
      </c>
      <c r="F16" s="227">
        <v>598.4351534578577</v>
      </c>
      <c r="G16" s="227">
        <v>614.232666348461</v>
      </c>
      <c r="H16" s="227">
        <v>618.0859814358054</v>
      </c>
      <c r="I16" s="227">
        <v>628.6417837953759</v>
      </c>
      <c r="J16" s="227">
        <v>641.2174914414686</v>
      </c>
      <c r="K16" s="227">
        <v>643.9598899530233</v>
      </c>
      <c r="L16" s="227">
        <v>653.444008546068</v>
      </c>
      <c r="M16" s="227">
        <v>672.2056361870265</v>
      </c>
      <c r="N16" s="227">
        <v>689.1919277863982</v>
      </c>
      <c r="O16" s="227">
        <v>687.735734121925</v>
      </c>
      <c r="P16" s="227">
        <v>712.217258157967</v>
      </c>
      <c r="Q16" s="227">
        <v>716.879483834627</v>
      </c>
      <c r="R16" s="227">
        <v>718.2961493866516</v>
      </c>
      <c r="S16" s="227">
        <v>714.9662367495789</v>
      </c>
      <c r="T16" s="227">
        <v>704.6155537135559</v>
      </c>
      <c r="U16" s="227">
        <v>700.9141843686657</v>
      </c>
      <c r="V16" s="227">
        <v>705.3497495000736</v>
      </c>
      <c r="W16" s="227">
        <v>689.6663151892991</v>
      </c>
      <c r="X16" s="227">
        <v>690.1304523298496</v>
      </c>
      <c r="Y16" s="227">
        <v>695.8712970248097</v>
      </c>
      <c r="Z16" s="227">
        <v>695.8946859251822</v>
      </c>
      <c r="AA16" s="227">
        <v>696.7346270761763</v>
      </c>
      <c r="AB16" s="227">
        <v>699.016313152445</v>
      </c>
      <c r="AC16" s="227">
        <v>706.9440129785258</v>
      </c>
      <c r="AD16" s="227">
        <v>722.9</v>
      </c>
      <c r="AE16" s="227">
        <v>742.5</v>
      </c>
      <c r="AF16" s="248">
        <f t="shared" si="1"/>
        <v>2.711301701480153</v>
      </c>
      <c r="AG16" s="225" t="s">
        <v>32</v>
      </c>
    </row>
    <row r="17" spans="1:33" ht="12.75" customHeight="1">
      <c r="A17" s="214"/>
      <c r="B17" s="221" t="s">
        <v>44</v>
      </c>
      <c r="C17" s="224"/>
      <c r="D17" s="224"/>
      <c r="E17" s="223"/>
      <c r="F17" s="223"/>
      <c r="G17" s="223"/>
      <c r="H17" s="223"/>
      <c r="I17" s="223"/>
      <c r="J17" s="242">
        <v>12.5</v>
      </c>
      <c r="K17" s="242">
        <v>14.75</v>
      </c>
      <c r="L17" s="242">
        <v>16.5</v>
      </c>
      <c r="M17" s="242">
        <v>17.5</v>
      </c>
      <c r="N17" s="242">
        <v>19</v>
      </c>
      <c r="O17" s="242">
        <v>20</v>
      </c>
      <c r="P17" s="242">
        <v>21</v>
      </c>
      <c r="Q17" s="242">
        <v>22</v>
      </c>
      <c r="R17" s="242">
        <v>22.5</v>
      </c>
      <c r="S17" s="242">
        <v>23.5</v>
      </c>
      <c r="T17" s="242">
        <v>24</v>
      </c>
      <c r="U17" s="242">
        <v>25</v>
      </c>
      <c r="V17" s="242">
        <v>26</v>
      </c>
      <c r="W17" s="242">
        <v>27</v>
      </c>
      <c r="X17" s="242">
        <v>26.8</v>
      </c>
      <c r="Y17" s="242">
        <v>25.7</v>
      </c>
      <c r="Z17" s="223">
        <v>25.242</v>
      </c>
      <c r="AA17" s="223">
        <v>26.147</v>
      </c>
      <c r="AB17" s="223">
        <v>26.145</v>
      </c>
      <c r="AC17" s="223">
        <v>26.057</v>
      </c>
      <c r="AD17" s="223">
        <v>26.393</v>
      </c>
      <c r="AE17" s="223">
        <v>26.181</v>
      </c>
      <c r="AF17" s="222">
        <f t="shared" si="1"/>
        <v>-0.803243284204143</v>
      </c>
      <c r="AG17" s="221" t="s">
        <v>44</v>
      </c>
    </row>
    <row r="18" spans="1:33" ht="12.75" customHeight="1">
      <c r="A18" s="214"/>
      <c r="B18" s="225" t="s">
        <v>34</v>
      </c>
      <c r="C18" s="239">
        <v>211.934</v>
      </c>
      <c r="D18" s="239">
        <v>324.034</v>
      </c>
      <c r="E18" s="261">
        <v>522.593</v>
      </c>
      <c r="F18" s="237">
        <v>538.27</v>
      </c>
      <c r="G18" s="237">
        <v>602.21</v>
      </c>
      <c r="H18" s="237">
        <v>603.09</v>
      </c>
      <c r="I18" s="227">
        <v>600.3</v>
      </c>
      <c r="J18" s="227">
        <v>614.713</v>
      </c>
      <c r="K18" s="227">
        <v>627.383</v>
      </c>
      <c r="L18" s="227">
        <v>638.837</v>
      </c>
      <c r="M18" s="227">
        <v>662.545</v>
      </c>
      <c r="N18" s="260">
        <v>663.319</v>
      </c>
      <c r="O18" s="259">
        <v>713.931</v>
      </c>
      <c r="P18" s="227">
        <f>O18+($T$16-$O$16)/5</f>
        <v>717.3069639183262</v>
      </c>
      <c r="Q18" s="227">
        <f>P18+($T$16-$O$16)/5</f>
        <v>720.6829278366524</v>
      </c>
      <c r="R18" s="227">
        <f>Q18+($T$16-$O$16)/5</f>
        <v>724.0588917549786</v>
      </c>
      <c r="S18" s="227">
        <f>R18+($T$16-$O$16)/5</f>
        <v>727.4348556733048</v>
      </c>
      <c r="T18" s="227">
        <v>677.014</v>
      </c>
      <c r="U18" s="227">
        <v>676.255</v>
      </c>
      <c r="V18" s="227">
        <v>677.056</v>
      </c>
      <c r="W18" s="227">
        <v>676.359</v>
      </c>
      <c r="X18" s="227">
        <v>719.912</v>
      </c>
      <c r="Y18" s="227">
        <v>698.39</v>
      </c>
      <c r="Z18" s="227">
        <v>665.328</v>
      </c>
      <c r="AA18" s="227">
        <v>578.668</v>
      </c>
      <c r="AB18" s="227">
        <v>620.368</v>
      </c>
      <c r="AC18" s="227">
        <v>642.92</v>
      </c>
      <c r="AD18" s="227">
        <v>676.35</v>
      </c>
      <c r="AE18" s="227">
        <v>704.542</v>
      </c>
      <c r="AF18" s="248">
        <f t="shared" si="1"/>
        <v>4.168256080431718</v>
      </c>
      <c r="AG18" s="225" t="s">
        <v>34</v>
      </c>
    </row>
    <row r="19" spans="1:33" ht="12.75" customHeight="1">
      <c r="A19" s="214"/>
      <c r="B19" s="221" t="s">
        <v>13</v>
      </c>
      <c r="C19" s="224" t="s">
        <v>41</v>
      </c>
      <c r="D19" s="224" t="s">
        <v>41</v>
      </c>
      <c r="E19" s="223" t="s">
        <v>41</v>
      </c>
      <c r="F19" s="223" t="s">
        <v>41</v>
      </c>
      <c r="G19" s="223" t="s">
        <v>41</v>
      </c>
      <c r="H19" s="223" t="s">
        <v>41</v>
      </c>
      <c r="I19" s="223" t="s">
        <v>41</v>
      </c>
      <c r="J19" s="243">
        <v>3.4</v>
      </c>
      <c r="K19" s="243">
        <v>3.5</v>
      </c>
      <c r="L19" s="243">
        <v>3.6</v>
      </c>
      <c r="M19" s="243">
        <v>3.7</v>
      </c>
      <c r="N19" s="243">
        <v>3.8</v>
      </c>
      <c r="O19" s="243">
        <v>3.9</v>
      </c>
      <c r="P19" s="243">
        <v>4</v>
      </c>
      <c r="Q19" s="243">
        <v>4.1</v>
      </c>
      <c r="R19" s="243">
        <v>4.15</v>
      </c>
      <c r="S19" s="242">
        <v>4.6</v>
      </c>
      <c r="T19" s="242">
        <v>4.8</v>
      </c>
      <c r="U19" s="242">
        <v>5</v>
      </c>
      <c r="V19" s="242">
        <v>5.3</v>
      </c>
      <c r="W19" s="242">
        <v>5.75</v>
      </c>
      <c r="X19" s="242">
        <v>6</v>
      </c>
      <c r="Y19" s="242">
        <v>5.9</v>
      </c>
      <c r="Z19" s="242">
        <v>5.93190592556501</v>
      </c>
      <c r="AA19" s="242">
        <v>5.951576551601025</v>
      </c>
      <c r="AB19" s="242">
        <v>5.921143432419876</v>
      </c>
      <c r="AC19" s="242">
        <v>6.055761785762059</v>
      </c>
      <c r="AD19" s="242">
        <v>6.198133573005254</v>
      </c>
      <c r="AE19" s="242">
        <v>6.47289651806175</v>
      </c>
      <c r="AF19" s="241">
        <f t="shared" si="1"/>
        <v>4.432994897902361</v>
      </c>
      <c r="AG19" s="221" t="s">
        <v>13</v>
      </c>
    </row>
    <row r="20" spans="1:33" s="235" customFormat="1" ht="12.75" customHeight="1">
      <c r="A20" s="240"/>
      <c r="B20" s="225" t="s">
        <v>17</v>
      </c>
      <c r="C20" s="239" t="s">
        <v>41</v>
      </c>
      <c r="D20" s="239" t="s">
        <v>41</v>
      </c>
      <c r="E20" s="227" t="s">
        <v>41</v>
      </c>
      <c r="F20" s="227" t="s">
        <v>41</v>
      </c>
      <c r="G20" s="227" t="s">
        <v>41</v>
      </c>
      <c r="H20" s="227" t="s">
        <v>41</v>
      </c>
      <c r="I20" s="227" t="s">
        <v>41</v>
      </c>
      <c r="J20" s="238">
        <v>7.5</v>
      </c>
      <c r="K20" s="238">
        <v>8</v>
      </c>
      <c r="L20" s="238">
        <v>9</v>
      </c>
      <c r="M20" s="238">
        <v>10</v>
      </c>
      <c r="N20" s="238">
        <v>11</v>
      </c>
      <c r="O20" s="238">
        <v>11.5</v>
      </c>
      <c r="P20" s="238">
        <v>12</v>
      </c>
      <c r="Q20" s="238">
        <v>12.5</v>
      </c>
      <c r="R20" s="238">
        <v>13</v>
      </c>
      <c r="S20" s="237">
        <v>11.5064</v>
      </c>
      <c r="T20" s="227">
        <v>12.1115</v>
      </c>
      <c r="U20" s="237">
        <v>14.0196</v>
      </c>
      <c r="V20" s="237">
        <v>15.9572</v>
      </c>
      <c r="W20" s="227">
        <v>14.2525</v>
      </c>
      <c r="X20" s="227">
        <v>12.70369</v>
      </c>
      <c r="Y20" s="227">
        <v>12.31234</v>
      </c>
      <c r="Z20" s="227">
        <v>11.3499</v>
      </c>
      <c r="AA20" s="227">
        <v>11.528</v>
      </c>
      <c r="AB20" s="227">
        <v>11.7334</v>
      </c>
      <c r="AC20" s="227">
        <v>12.6258</v>
      </c>
      <c r="AD20" s="227">
        <v>13.5426</v>
      </c>
      <c r="AE20" s="227">
        <v>13.8988</v>
      </c>
      <c r="AF20" s="248">
        <f t="shared" si="1"/>
        <v>2.6302187172330065</v>
      </c>
      <c r="AG20" s="225" t="s">
        <v>17</v>
      </c>
    </row>
    <row r="21" spans="1:33" ht="12.75" customHeight="1">
      <c r="A21" s="214"/>
      <c r="B21" s="221" t="s">
        <v>18</v>
      </c>
      <c r="C21" s="224" t="s">
        <v>41</v>
      </c>
      <c r="D21" s="224" t="s">
        <v>41</v>
      </c>
      <c r="E21" s="223" t="s">
        <v>41</v>
      </c>
      <c r="F21" s="223" t="s">
        <v>41</v>
      </c>
      <c r="G21" s="223" t="s">
        <v>41</v>
      </c>
      <c r="H21" s="223" t="s">
        <v>41</v>
      </c>
      <c r="I21" s="223" t="s">
        <v>41</v>
      </c>
      <c r="J21" s="242">
        <v>16</v>
      </c>
      <c r="K21" s="242">
        <v>18</v>
      </c>
      <c r="L21" s="242">
        <v>20</v>
      </c>
      <c r="M21" s="242">
        <v>22</v>
      </c>
      <c r="N21" s="242">
        <v>25</v>
      </c>
      <c r="O21" s="242">
        <v>26</v>
      </c>
      <c r="P21" s="242">
        <v>26</v>
      </c>
      <c r="Q21" s="242">
        <v>26</v>
      </c>
      <c r="R21" s="242">
        <v>29</v>
      </c>
      <c r="S21" s="242">
        <v>31</v>
      </c>
      <c r="T21" s="223">
        <v>34.793</v>
      </c>
      <c r="U21" s="223">
        <v>39.472</v>
      </c>
      <c r="V21" s="223">
        <v>39.119</v>
      </c>
      <c r="W21" s="223">
        <v>37.991</v>
      </c>
      <c r="X21" s="223">
        <v>36.055</v>
      </c>
      <c r="Y21" s="223">
        <v>32.569</v>
      </c>
      <c r="Z21" s="223">
        <v>29.908</v>
      </c>
      <c r="AA21" s="223">
        <v>34.191</v>
      </c>
      <c r="AB21" s="223">
        <v>33.325</v>
      </c>
      <c r="AC21" s="223">
        <v>24.336</v>
      </c>
      <c r="AD21" s="223">
        <v>24.865</v>
      </c>
      <c r="AE21" s="223">
        <v>25.854</v>
      </c>
      <c r="AF21" s="222">
        <f t="shared" si="1"/>
        <v>3.9774783832696556</v>
      </c>
      <c r="AG21" s="221" t="s">
        <v>18</v>
      </c>
    </row>
    <row r="22" spans="1:33" s="235" customFormat="1" ht="12.75" customHeight="1">
      <c r="A22" s="240"/>
      <c r="B22" s="225" t="s">
        <v>35</v>
      </c>
      <c r="C22" s="256">
        <v>2.1</v>
      </c>
      <c r="D22" s="256">
        <v>2.7</v>
      </c>
      <c r="E22" s="237">
        <v>4</v>
      </c>
      <c r="F22" s="237">
        <v>4.15</v>
      </c>
      <c r="G22" s="237">
        <v>4.3</v>
      </c>
      <c r="H22" s="237">
        <v>4.5</v>
      </c>
      <c r="I22" s="237">
        <v>4.6</v>
      </c>
      <c r="J22" s="237">
        <v>4.7</v>
      </c>
      <c r="K22" s="237">
        <v>4.8</v>
      </c>
      <c r="L22" s="237">
        <v>4.9</v>
      </c>
      <c r="M22" s="237">
        <v>5</v>
      </c>
      <c r="N22" s="237">
        <v>5</v>
      </c>
      <c r="O22" s="237">
        <v>5.6</v>
      </c>
      <c r="P22" s="237">
        <v>5.8</v>
      </c>
      <c r="Q22" s="237">
        <v>5.9</v>
      </c>
      <c r="R22" s="237">
        <v>6</v>
      </c>
      <c r="S22" s="237">
        <v>6.1</v>
      </c>
      <c r="T22" s="237">
        <v>6.3</v>
      </c>
      <c r="U22" s="237">
        <v>6.5</v>
      </c>
      <c r="V22" s="237">
        <v>6.6</v>
      </c>
      <c r="W22" s="237">
        <v>6.7</v>
      </c>
      <c r="X22" s="237">
        <v>6.7</v>
      </c>
      <c r="Y22" s="237">
        <v>6.5</v>
      </c>
      <c r="Z22" s="237">
        <v>6.591758023581571</v>
      </c>
      <c r="AA22" s="237">
        <v>6.733132688657702</v>
      </c>
      <c r="AB22" s="237">
        <v>6.850930549747795</v>
      </c>
      <c r="AC22" s="237">
        <v>7.132396036634483</v>
      </c>
      <c r="AD22" s="237">
        <v>7.321358260666726</v>
      </c>
      <c r="AE22" s="237">
        <v>7.525420478671155</v>
      </c>
      <c r="AF22" s="236">
        <f t="shared" si="1"/>
        <v>2.7872180371330018</v>
      </c>
      <c r="AG22" s="225" t="s">
        <v>35</v>
      </c>
    </row>
    <row r="23" spans="1:33" ht="12.75" customHeight="1">
      <c r="A23" s="214"/>
      <c r="B23" s="221" t="s">
        <v>16</v>
      </c>
      <c r="C23" s="224" t="s">
        <v>41</v>
      </c>
      <c r="D23" s="224" t="s">
        <v>41</v>
      </c>
      <c r="E23" s="223">
        <v>47</v>
      </c>
      <c r="F23" s="223">
        <v>46.8</v>
      </c>
      <c r="G23" s="223">
        <v>44.6</v>
      </c>
      <c r="H23" s="223">
        <v>44</v>
      </c>
      <c r="I23" s="223">
        <v>44.9</v>
      </c>
      <c r="J23" s="223">
        <v>45.4</v>
      </c>
      <c r="K23" s="223">
        <v>45.6</v>
      </c>
      <c r="L23" s="223">
        <v>46.1</v>
      </c>
      <c r="M23" s="223">
        <v>46.15</v>
      </c>
      <c r="N23" s="223">
        <v>46.17</v>
      </c>
      <c r="O23" s="223">
        <v>46.18</v>
      </c>
      <c r="P23" s="223">
        <v>46.18</v>
      </c>
      <c r="Q23" s="223">
        <v>46.3</v>
      </c>
      <c r="R23" s="223">
        <v>47.517</v>
      </c>
      <c r="S23" s="223">
        <v>49.121</v>
      </c>
      <c r="T23" s="258">
        <v>49.403</v>
      </c>
      <c r="U23" s="223">
        <v>52.315</v>
      </c>
      <c r="V23" s="223">
        <v>53.946</v>
      </c>
      <c r="W23" s="223">
        <v>54.005</v>
      </c>
      <c r="X23" s="223">
        <v>54.396</v>
      </c>
      <c r="Y23" s="223">
        <v>52.595</v>
      </c>
      <c r="Z23" s="223">
        <v>52.251</v>
      </c>
      <c r="AA23" s="223">
        <v>51.793</v>
      </c>
      <c r="AB23" s="223">
        <v>51.824</v>
      </c>
      <c r="AC23" s="223">
        <v>52.723</v>
      </c>
      <c r="AD23" s="223">
        <v>54.603</v>
      </c>
      <c r="AE23" s="223">
        <v>56.677</v>
      </c>
      <c r="AF23" s="222">
        <f t="shared" si="1"/>
        <v>3.7983260992985777</v>
      </c>
      <c r="AG23" s="221" t="s">
        <v>16</v>
      </c>
    </row>
    <row r="24" spans="1:33" s="235" customFormat="1" ht="12.75" customHeight="1">
      <c r="A24" s="240"/>
      <c r="B24" s="225" t="s">
        <v>19</v>
      </c>
      <c r="C24" s="239" t="s">
        <v>41</v>
      </c>
      <c r="D24" s="239" t="s">
        <v>41</v>
      </c>
      <c r="E24" s="227" t="s">
        <v>41</v>
      </c>
      <c r="F24" s="227" t="s">
        <v>41</v>
      </c>
      <c r="G24" s="227" t="s">
        <v>41</v>
      </c>
      <c r="H24" s="227" t="s">
        <v>41</v>
      </c>
      <c r="I24" s="227" t="s">
        <v>41</v>
      </c>
      <c r="J24" s="237">
        <v>1.7</v>
      </c>
      <c r="K24" s="237">
        <v>1.72</v>
      </c>
      <c r="L24" s="237">
        <v>1.74</v>
      </c>
      <c r="M24" s="237">
        <v>1.76</v>
      </c>
      <c r="N24" s="237">
        <v>1.78</v>
      </c>
      <c r="O24" s="237">
        <v>1.8</v>
      </c>
      <c r="P24" s="237">
        <v>1.8</v>
      </c>
      <c r="Q24" s="237">
        <v>1.85</v>
      </c>
      <c r="R24" s="237">
        <v>1.9</v>
      </c>
      <c r="S24" s="237">
        <v>1.95</v>
      </c>
      <c r="T24" s="237">
        <v>2</v>
      </c>
      <c r="U24" s="237">
        <v>2.05</v>
      </c>
      <c r="V24" s="237">
        <v>2.1</v>
      </c>
      <c r="W24" s="237">
        <v>2.15</v>
      </c>
      <c r="X24" s="237">
        <v>2.2</v>
      </c>
      <c r="Y24" s="237">
        <v>2.2</v>
      </c>
      <c r="Z24" s="237">
        <v>2.2297181531995443</v>
      </c>
      <c r="AA24" s="237">
        <v>2.240448897501395</v>
      </c>
      <c r="AB24" s="237">
        <v>2.291235362302769</v>
      </c>
      <c r="AC24" s="237">
        <v>2.4135009155436644</v>
      </c>
      <c r="AD24" s="237">
        <v>2.5042317396135667</v>
      </c>
      <c r="AE24" s="237">
        <f>AD24*2648.08/2556.52</f>
        <v>2.5939190716426603</v>
      </c>
      <c r="AF24" s="236">
        <f t="shared" si="1"/>
        <v>3.581431007776189</v>
      </c>
      <c r="AG24" s="225" t="s">
        <v>19</v>
      </c>
    </row>
    <row r="25" spans="1:33" ht="12.75" customHeight="1">
      <c r="A25" s="214"/>
      <c r="B25" s="221" t="s">
        <v>27</v>
      </c>
      <c r="C25" s="224">
        <v>67.1</v>
      </c>
      <c r="D25" s="251">
        <v>108.1</v>
      </c>
      <c r="E25" s="223">
        <v>137.3</v>
      </c>
      <c r="F25" s="223">
        <v>124.5</v>
      </c>
      <c r="G25" s="223">
        <v>129.1</v>
      </c>
      <c r="H25" s="223">
        <v>126.1</v>
      </c>
      <c r="I25" s="223">
        <v>128.8</v>
      </c>
      <c r="J25" s="223">
        <v>131.4</v>
      </c>
      <c r="K25" s="223">
        <v>132.7</v>
      </c>
      <c r="L25" s="223">
        <v>136.5</v>
      </c>
      <c r="M25" s="223">
        <v>137.1</v>
      </c>
      <c r="N25" s="223">
        <v>141.3</v>
      </c>
      <c r="O25" s="223">
        <v>141.1</v>
      </c>
      <c r="P25" s="223">
        <v>141.6</v>
      </c>
      <c r="Q25" s="223">
        <v>144.2</v>
      </c>
      <c r="R25" s="223">
        <v>146.1</v>
      </c>
      <c r="S25" s="223">
        <v>151.6</v>
      </c>
      <c r="T25" s="223">
        <v>148.8</v>
      </c>
      <c r="U25" s="223">
        <v>148</v>
      </c>
      <c r="V25" s="223">
        <v>148.8</v>
      </c>
      <c r="W25" s="223">
        <v>147</v>
      </c>
      <c r="X25" s="242">
        <v>146.3</v>
      </c>
      <c r="Y25" s="250">
        <v>144.2</v>
      </c>
      <c r="Z25" s="223">
        <v>144.4</v>
      </c>
      <c r="AA25" s="223">
        <v>139.7</v>
      </c>
      <c r="AB25" s="223">
        <v>145.4</v>
      </c>
      <c r="AC25" s="223">
        <v>144.969</v>
      </c>
      <c r="AD25" s="223">
        <v>139.5</v>
      </c>
      <c r="AE25" s="223">
        <f>97.7+43.1</f>
        <v>140.8</v>
      </c>
      <c r="AF25" s="222">
        <f t="shared" si="1"/>
        <v>0.9318996415770755</v>
      </c>
      <c r="AG25" s="221" t="s">
        <v>27</v>
      </c>
    </row>
    <row r="26" spans="1:33" s="235" customFormat="1" ht="12.75" customHeight="1">
      <c r="A26" s="240"/>
      <c r="B26" s="225" t="s">
        <v>36</v>
      </c>
      <c r="C26" s="239">
        <v>32.9</v>
      </c>
      <c r="D26" s="239">
        <v>47.8</v>
      </c>
      <c r="E26" s="227">
        <v>55.677</v>
      </c>
      <c r="F26" s="227">
        <v>57.391</v>
      </c>
      <c r="G26" s="227">
        <v>58.959</v>
      </c>
      <c r="H26" s="227">
        <v>59.785</v>
      </c>
      <c r="I26" s="227">
        <v>61.803</v>
      </c>
      <c r="J26" s="227">
        <v>62.156</v>
      </c>
      <c r="K26" s="227">
        <v>63.073</v>
      </c>
      <c r="L26" s="227">
        <v>63.864</v>
      </c>
      <c r="M26" s="227">
        <v>64.861</v>
      </c>
      <c r="N26" s="227">
        <v>66.11</v>
      </c>
      <c r="O26" s="227">
        <v>66.668</v>
      </c>
      <c r="P26" s="227">
        <v>67.104</v>
      </c>
      <c r="Q26" s="227">
        <v>67.96</v>
      </c>
      <c r="R26" s="227">
        <v>68.941</v>
      </c>
      <c r="S26" s="227">
        <v>69.608</v>
      </c>
      <c r="T26" s="227">
        <v>70.557</v>
      </c>
      <c r="U26" s="227">
        <v>70.893</v>
      </c>
      <c r="V26" s="227">
        <v>72.023</v>
      </c>
      <c r="W26" s="227">
        <v>73.281</v>
      </c>
      <c r="X26" s="227">
        <v>72.675</v>
      </c>
      <c r="Y26" s="227">
        <v>73.467</v>
      </c>
      <c r="Z26" s="227">
        <v>74.451</v>
      </c>
      <c r="AA26" s="227">
        <v>74.154</v>
      </c>
      <c r="AB26" s="227">
        <v>74.837</v>
      </c>
      <c r="AC26" s="227">
        <v>76.594</v>
      </c>
      <c r="AD26" s="227">
        <v>78.347</v>
      </c>
      <c r="AE26" s="227">
        <v>80.444</v>
      </c>
      <c r="AF26" s="248">
        <f t="shared" si="1"/>
        <v>2.6765543032917662</v>
      </c>
      <c r="AG26" s="225" t="s">
        <v>36</v>
      </c>
    </row>
    <row r="27" spans="1:33" ht="12.75" customHeight="1">
      <c r="A27" s="214"/>
      <c r="B27" s="221" t="s">
        <v>20</v>
      </c>
      <c r="C27" s="224" t="s">
        <v>41</v>
      </c>
      <c r="D27" s="224" t="s">
        <v>41</v>
      </c>
      <c r="E27" s="223" t="s">
        <v>41</v>
      </c>
      <c r="F27" s="223"/>
      <c r="G27" s="223"/>
      <c r="H27" s="223"/>
      <c r="I27" s="223"/>
      <c r="J27" s="223">
        <v>110.7</v>
      </c>
      <c r="K27" s="223">
        <v>121.6</v>
      </c>
      <c r="L27" s="223">
        <v>132</v>
      </c>
      <c r="M27" s="223">
        <v>141.1</v>
      </c>
      <c r="N27" s="223">
        <v>143</v>
      </c>
      <c r="O27" s="250">
        <v>130.1</v>
      </c>
      <c r="P27" s="223">
        <v>132.3</v>
      </c>
      <c r="Q27" s="223">
        <v>135.8</v>
      </c>
      <c r="R27" s="223">
        <v>141.3</v>
      </c>
      <c r="S27" s="223">
        <v>146.8</v>
      </c>
      <c r="T27" s="223">
        <v>152.3</v>
      </c>
      <c r="U27" s="223">
        <v>156.6</v>
      </c>
      <c r="V27" s="223">
        <v>162.3</v>
      </c>
      <c r="W27" s="223">
        <v>172.6</v>
      </c>
      <c r="X27" s="223">
        <v>182.758</v>
      </c>
      <c r="Y27" s="223">
        <v>188.81</v>
      </c>
      <c r="Z27" s="223">
        <v>189.103</v>
      </c>
      <c r="AA27" s="223">
        <v>189.324</v>
      </c>
      <c r="AB27" s="223">
        <v>193.336</v>
      </c>
      <c r="AC27" s="223">
        <v>197.032</v>
      </c>
      <c r="AD27" s="223">
        <v>200.57</v>
      </c>
      <c r="AE27" s="223">
        <v>203.783</v>
      </c>
      <c r="AF27" s="222">
        <f t="shared" si="1"/>
        <v>1.6019344867128638</v>
      </c>
      <c r="AG27" s="221" t="s">
        <v>20</v>
      </c>
    </row>
    <row r="28" spans="1:33" s="235" customFormat="1" ht="12.75" customHeight="1">
      <c r="A28" s="240"/>
      <c r="B28" s="225" t="s">
        <v>37</v>
      </c>
      <c r="C28" s="256">
        <v>13.8</v>
      </c>
      <c r="D28" s="256">
        <v>29</v>
      </c>
      <c r="E28" s="237">
        <v>40</v>
      </c>
      <c r="F28" s="237">
        <v>41</v>
      </c>
      <c r="G28" s="237">
        <v>43</v>
      </c>
      <c r="H28" s="237">
        <v>46</v>
      </c>
      <c r="I28" s="237">
        <v>49</v>
      </c>
      <c r="J28" s="237">
        <v>52.5</v>
      </c>
      <c r="K28" s="237">
        <v>56</v>
      </c>
      <c r="L28" s="237">
        <v>60</v>
      </c>
      <c r="M28" s="237">
        <v>64</v>
      </c>
      <c r="N28" s="237">
        <v>68</v>
      </c>
      <c r="O28" s="237">
        <v>71</v>
      </c>
      <c r="P28" s="237">
        <v>73.2</v>
      </c>
      <c r="Q28" s="237">
        <v>77.7</v>
      </c>
      <c r="R28" s="237">
        <v>81.5</v>
      </c>
      <c r="S28" s="237">
        <v>83</v>
      </c>
      <c r="T28" s="237">
        <v>85</v>
      </c>
      <c r="U28" s="237">
        <v>86</v>
      </c>
      <c r="V28" s="237">
        <v>86.6</v>
      </c>
      <c r="W28" s="237">
        <v>87</v>
      </c>
      <c r="X28" s="237">
        <v>86</v>
      </c>
      <c r="Y28" s="237">
        <v>83.7</v>
      </c>
      <c r="Z28" s="237">
        <v>83.19008452892002</v>
      </c>
      <c r="AA28" s="237">
        <v>82.13077342280117</v>
      </c>
      <c r="AB28" s="237">
        <v>81.86593727133295</v>
      </c>
      <c r="AC28" s="237">
        <v>83.3358926901149</v>
      </c>
      <c r="AD28" s="237">
        <v>84.46785751462882</v>
      </c>
      <c r="AE28" s="237">
        <v>90.461994001226</v>
      </c>
      <c r="AF28" s="236">
        <f t="shared" si="1"/>
        <v>7.096351988753909</v>
      </c>
      <c r="AG28" s="225" t="s">
        <v>37</v>
      </c>
    </row>
    <row r="29" spans="1:33" ht="12.75" customHeight="1">
      <c r="A29" s="214"/>
      <c r="B29" s="221" t="s">
        <v>21</v>
      </c>
      <c r="C29" s="255"/>
      <c r="D29" s="255"/>
      <c r="E29" s="242"/>
      <c r="F29" s="242"/>
      <c r="G29" s="242"/>
      <c r="H29" s="242"/>
      <c r="I29" s="242"/>
      <c r="J29" s="242">
        <v>40</v>
      </c>
      <c r="K29" s="242">
        <v>42.5</v>
      </c>
      <c r="L29" s="242">
        <v>45</v>
      </c>
      <c r="M29" s="242">
        <v>47</v>
      </c>
      <c r="N29" s="242">
        <v>49</v>
      </c>
      <c r="O29" s="242">
        <v>51</v>
      </c>
      <c r="P29" s="242">
        <v>52.5</v>
      </c>
      <c r="Q29" s="242">
        <v>54</v>
      </c>
      <c r="R29" s="242">
        <v>56</v>
      </c>
      <c r="S29" s="242">
        <v>58</v>
      </c>
      <c r="T29" s="242">
        <v>61</v>
      </c>
      <c r="U29" s="242">
        <v>64.1</v>
      </c>
      <c r="V29" s="242">
        <v>67.5</v>
      </c>
      <c r="W29" s="242">
        <v>70.5</v>
      </c>
      <c r="X29" s="242">
        <v>75.5</v>
      </c>
      <c r="Y29" s="242">
        <v>75.5</v>
      </c>
      <c r="Z29" s="242">
        <v>74.97833815332045</v>
      </c>
      <c r="AA29" s="242">
        <v>77.04505960700007</v>
      </c>
      <c r="AB29" s="242">
        <v>80.36341832605608</v>
      </c>
      <c r="AC29" s="242">
        <v>85.19385987224148</v>
      </c>
      <c r="AD29" s="242">
        <v>89.86636208053349</v>
      </c>
      <c r="AE29" s="242">
        <v>95.59168254437643</v>
      </c>
      <c r="AF29" s="241">
        <f t="shared" si="1"/>
        <v>6.370927153713211</v>
      </c>
      <c r="AG29" s="221" t="s">
        <v>21</v>
      </c>
    </row>
    <row r="30" spans="1:33" s="235" customFormat="1" ht="12.75" customHeight="1">
      <c r="A30" s="240"/>
      <c r="B30" s="225" t="s">
        <v>23</v>
      </c>
      <c r="C30" s="239" t="s">
        <v>41</v>
      </c>
      <c r="D30" s="239" t="s">
        <v>41</v>
      </c>
      <c r="E30" s="254">
        <v>13.32</v>
      </c>
      <c r="F30" s="254">
        <v>12.606</v>
      </c>
      <c r="G30" s="254">
        <v>13.386</v>
      </c>
      <c r="H30" s="254">
        <v>13.979</v>
      </c>
      <c r="I30" s="254">
        <v>15.178</v>
      </c>
      <c r="J30" s="254">
        <v>16.338</v>
      </c>
      <c r="K30" s="254">
        <v>17.794</v>
      </c>
      <c r="L30" s="254">
        <v>19.011</v>
      </c>
      <c r="M30" s="254">
        <v>18.98</v>
      </c>
      <c r="N30" s="254">
        <v>20.074</v>
      </c>
      <c r="O30" s="254">
        <v>20.325</v>
      </c>
      <c r="P30" s="254">
        <v>20.801</v>
      </c>
      <c r="Q30" s="254">
        <v>21.287</v>
      </c>
      <c r="R30" s="254">
        <v>21.331</v>
      </c>
      <c r="S30" s="227">
        <v>22.042</v>
      </c>
      <c r="T30" s="227">
        <v>22.509</v>
      </c>
      <c r="U30" s="227">
        <v>23.006</v>
      </c>
      <c r="V30" s="227">
        <v>24.355</v>
      </c>
      <c r="W30" s="227">
        <v>24.878</v>
      </c>
      <c r="X30" s="227">
        <v>25.775</v>
      </c>
      <c r="Y30" s="227">
        <v>25.636</v>
      </c>
      <c r="Z30" s="237">
        <v>25.487436219641157</v>
      </c>
      <c r="AA30" s="237">
        <v>25.30277592122288</v>
      </c>
      <c r="AB30" s="237">
        <v>25.168354826572546</v>
      </c>
      <c r="AC30" s="237">
        <v>25.638692920142624</v>
      </c>
      <c r="AD30" s="237">
        <v>25.996532775797913</v>
      </c>
      <c r="AE30" s="237">
        <v>26.478496232138678</v>
      </c>
      <c r="AF30" s="236">
        <f t="shared" si="1"/>
        <v>1.8539528347774876</v>
      </c>
      <c r="AG30" s="225" t="s">
        <v>23</v>
      </c>
    </row>
    <row r="31" spans="1:33" ht="12.75" customHeight="1">
      <c r="A31" s="214"/>
      <c r="B31" s="221" t="s">
        <v>22</v>
      </c>
      <c r="C31" s="253"/>
      <c r="D31" s="253"/>
      <c r="E31" s="252"/>
      <c r="F31" s="223"/>
      <c r="G31" s="223"/>
      <c r="H31" s="223">
        <v>17.554</v>
      </c>
      <c r="I31" s="223">
        <v>17.293</v>
      </c>
      <c r="J31" s="223">
        <v>17.977</v>
      </c>
      <c r="K31" s="223">
        <v>17.993</v>
      </c>
      <c r="L31" s="223">
        <v>18.568</v>
      </c>
      <c r="M31" s="223">
        <v>19.302</v>
      </c>
      <c r="N31" s="223">
        <v>21.541</v>
      </c>
      <c r="O31" s="223">
        <v>23.929</v>
      </c>
      <c r="P31" s="223">
        <v>24.056</v>
      </c>
      <c r="Q31" s="223">
        <v>24.978</v>
      </c>
      <c r="R31" s="223">
        <v>25.224</v>
      </c>
      <c r="S31" s="223">
        <v>25.332</v>
      </c>
      <c r="T31" s="223">
        <v>25.824</v>
      </c>
      <c r="U31" s="223">
        <v>26.342</v>
      </c>
      <c r="V31" s="223">
        <v>25.994</v>
      </c>
      <c r="W31" s="223">
        <v>26.395</v>
      </c>
      <c r="X31" s="223">
        <v>26.42</v>
      </c>
      <c r="Y31" s="223">
        <v>26.879</v>
      </c>
      <c r="Z31" s="223">
        <v>26.887</v>
      </c>
      <c r="AA31" s="223">
        <v>26.935</v>
      </c>
      <c r="AB31" s="223">
        <v>27.155</v>
      </c>
      <c r="AC31" s="223">
        <v>27.251</v>
      </c>
      <c r="AD31" s="223">
        <v>27.531</v>
      </c>
      <c r="AE31" s="223">
        <v>27.836</v>
      </c>
      <c r="AF31" s="222">
        <f t="shared" si="1"/>
        <v>1.1078420689404567</v>
      </c>
      <c r="AG31" s="221" t="s">
        <v>22</v>
      </c>
    </row>
    <row r="32" spans="1:33" ht="12.75" customHeight="1">
      <c r="A32" s="214"/>
      <c r="B32" s="225" t="s">
        <v>38</v>
      </c>
      <c r="C32" s="239">
        <v>23.7</v>
      </c>
      <c r="D32" s="239">
        <v>34.8</v>
      </c>
      <c r="E32" s="227">
        <v>51.2</v>
      </c>
      <c r="F32" s="227">
        <v>50.6</v>
      </c>
      <c r="G32" s="227">
        <v>50.5</v>
      </c>
      <c r="H32" s="227">
        <v>49.7</v>
      </c>
      <c r="I32" s="227">
        <v>49.6</v>
      </c>
      <c r="J32" s="227">
        <v>50</v>
      </c>
      <c r="K32" s="227">
        <v>50.4</v>
      </c>
      <c r="L32" s="227">
        <v>51.9</v>
      </c>
      <c r="M32" s="227">
        <v>53.3</v>
      </c>
      <c r="N32" s="227">
        <v>54.9</v>
      </c>
      <c r="O32" s="227">
        <v>55.7</v>
      </c>
      <c r="P32" s="227">
        <v>57</v>
      </c>
      <c r="Q32" s="227">
        <v>58.3</v>
      </c>
      <c r="R32" s="227">
        <v>59.59</v>
      </c>
      <c r="S32" s="227">
        <v>60.94</v>
      </c>
      <c r="T32" s="227">
        <v>61.91</v>
      </c>
      <c r="U32" s="227">
        <v>62.455</v>
      </c>
      <c r="V32" s="227">
        <v>63.785</v>
      </c>
      <c r="W32" s="227">
        <v>63.4</v>
      </c>
      <c r="X32" s="227">
        <v>64.33</v>
      </c>
      <c r="Y32" s="227">
        <f>64.745</f>
        <v>64.745</v>
      </c>
      <c r="Z32" s="227">
        <v>65.49</v>
      </c>
      <c r="AA32" s="227">
        <v>65.27</v>
      </c>
      <c r="AB32" s="227">
        <v>65.115</v>
      </c>
      <c r="AC32" s="227">
        <v>65.52</v>
      </c>
      <c r="AD32" s="227">
        <v>66.295</v>
      </c>
      <c r="AE32" s="477">
        <v>57.006</v>
      </c>
      <c r="AF32" s="248">
        <f t="shared" si="1"/>
        <v>-14.011614752243759</v>
      </c>
      <c r="AG32" s="225" t="s">
        <v>38</v>
      </c>
    </row>
    <row r="33" spans="1:33" ht="12.75" customHeight="1">
      <c r="A33" s="214"/>
      <c r="B33" s="221" t="s">
        <v>39</v>
      </c>
      <c r="C33" s="224">
        <v>56.1</v>
      </c>
      <c r="D33" s="251">
        <v>67.4</v>
      </c>
      <c r="E33" s="223">
        <v>85.945</v>
      </c>
      <c r="F33" s="223">
        <v>86.494</v>
      </c>
      <c r="G33" s="223">
        <v>87.552</v>
      </c>
      <c r="H33" s="223">
        <v>85.683</v>
      </c>
      <c r="I33" s="223">
        <v>86.65</v>
      </c>
      <c r="J33" s="223">
        <v>87.622</v>
      </c>
      <c r="K33" s="223">
        <v>87.983</v>
      </c>
      <c r="L33" s="223">
        <v>88.107</v>
      </c>
      <c r="M33" s="223">
        <v>88.811</v>
      </c>
      <c r="N33" s="250">
        <v>100.18352</v>
      </c>
      <c r="O33" s="250">
        <v>103.65483369766447</v>
      </c>
      <c r="P33" s="223">
        <v>104.83427759943993</v>
      </c>
      <c r="Q33" s="223">
        <v>106.62251789890334</v>
      </c>
      <c r="R33" s="223">
        <v>107.32208833613136</v>
      </c>
      <c r="S33" s="223">
        <v>108.35985149670047</v>
      </c>
      <c r="T33" s="223">
        <v>107.98311590611746</v>
      </c>
      <c r="U33" s="223">
        <v>108.13703214573366</v>
      </c>
      <c r="V33" s="223">
        <v>110.23856590007244</v>
      </c>
      <c r="W33" s="223">
        <v>109.46845217694035</v>
      </c>
      <c r="X33" s="223">
        <v>108.89703801054038</v>
      </c>
      <c r="Y33" s="223">
        <v>108.01282861161354</v>
      </c>
      <c r="Z33" s="223">
        <v>109.02898505595721</v>
      </c>
      <c r="AA33" s="223">
        <v>108.37233901934596</v>
      </c>
      <c r="AB33" s="223">
        <v>108.2057882235005</v>
      </c>
      <c r="AC33" s="223">
        <v>110.34047754415158</v>
      </c>
      <c r="AD33" s="223">
        <v>111.895515890943</v>
      </c>
      <c r="AE33" s="325">
        <v>114.504261827266</v>
      </c>
      <c r="AF33" s="222">
        <f t="shared" si="1"/>
        <v>2.3314124033938697</v>
      </c>
      <c r="AG33" s="221" t="s">
        <v>39</v>
      </c>
    </row>
    <row r="34" spans="1:33" ht="12.75" customHeight="1">
      <c r="A34" s="214"/>
      <c r="B34" s="225" t="s">
        <v>28</v>
      </c>
      <c r="C34" s="239">
        <v>297</v>
      </c>
      <c r="D34" s="239">
        <v>388</v>
      </c>
      <c r="E34" s="227">
        <v>588.0080122315558</v>
      </c>
      <c r="F34" s="227">
        <v>582.210511129872</v>
      </c>
      <c r="G34" s="227">
        <v>583.0444742310589</v>
      </c>
      <c r="H34" s="219">
        <v>607.1</v>
      </c>
      <c r="I34" s="218">
        <v>614</v>
      </c>
      <c r="J34" s="249">
        <v>617.9</v>
      </c>
      <c r="K34" s="218">
        <v>622.2654719600544</v>
      </c>
      <c r="L34" s="218">
        <v>632.3684424546157</v>
      </c>
      <c r="M34" s="227">
        <v>635.6775225864668</v>
      </c>
      <c r="N34" s="227">
        <v>642.0866819761951</v>
      </c>
      <c r="O34" s="227">
        <v>638.5660724907208</v>
      </c>
      <c r="P34" s="227">
        <v>651.3961997016211</v>
      </c>
      <c r="Q34" s="227">
        <v>672.7194691828055</v>
      </c>
      <c r="R34" s="227">
        <v>667.6862466811284</v>
      </c>
      <c r="S34" s="227">
        <v>672.7945795760364</v>
      </c>
      <c r="T34" s="227">
        <v>667.0939345891204</v>
      </c>
      <c r="U34" s="227">
        <v>672.6214990265529</v>
      </c>
      <c r="V34" s="227">
        <v>673.5385181638319</v>
      </c>
      <c r="W34" s="227">
        <v>665.7371813643687</v>
      </c>
      <c r="X34" s="227">
        <v>660.9155296895736</v>
      </c>
      <c r="Y34" s="227">
        <v>644.6898839970787</v>
      </c>
      <c r="Z34" s="227">
        <v>644.0729237142161</v>
      </c>
      <c r="AA34" s="227">
        <v>647.2213805037545</v>
      </c>
      <c r="AB34" s="227">
        <v>641.7692374004212</v>
      </c>
      <c r="AC34" s="227">
        <v>654.3754130002416</v>
      </c>
      <c r="AD34" s="227">
        <v>655.1690050715963</v>
      </c>
      <c r="AE34" s="227">
        <v>667.5260145214103</v>
      </c>
      <c r="AF34" s="248">
        <f t="shared" si="1"/>
        <v>1.8860796762605787</v>
      </c>
      <c r="AG34" s="225" t="s">
        <v>28</v>
      </c>
    </row>
    <row r="35" spans="1:33" ht="12.75" customHeight="1">
      <c r="A35" s="214"/>
      <c r="B35" s="244" t="s">
        <v>112</v>
      </c>
      <c r="C35" s="247"/>
      <c r="D35" s="247"/>
      <c r="E35" s="246"/>
      <c r="F35" s="246"/>
      <c r="G35" s="246">
        <v>2.685</v>
      </c>
      <c r="H35" s="246">
        <v>4.293</v>
      </c>
      <c r="I35" s="246">
        <v>4.638</v>
      </c>
      <c r="J35" s="246">
        <v>4.759</v>
      </c>
      <c r="K35" s="246">
        <v>5.01</v>
      </c>
      <c r="L35" s="246">
        <v>3.531</v>
      </c>
      <c r="M35" s="246">
        <v>4.734</v>
      </c>
      <c r="N35" s="246">
        <v>4.962</v>
      </c>
      <c r="O35" s="246">
        <v>5.115</v>
      </c>
      <c r="P35" s="246">
        <v>5.173</v>
      </c>
      <c r="Q35" s="246">
        <v>5.906</v>
      </c>
      <c r="R35" s="246">
        <v>6.319</v>
      </c>
      <c r="S35" s="246">
        <v>6.34</v>
      </c>
      <c r="T35" s="246">
        <v>6.645</v>
      </c>
      <c r="U35" s="246">
        <v>6.87</v>
      </c>
      <c r="V35" s="246">
        <v>6.377</v>
      </c>
      <c r="W35" s="246">
        <v>5.647</v>
      </c>
      <c r="X35" s="246">
        <v>6.068</v>
      </c>
      <c r="Y35" s="246">
        <v>5.535</v>
      </c>
      <c r="Z35" s="246">
        <v>6.726</v>
      </c>
      <c r="AA35" s="246">
        <v>6.654</v>
      </c>
      <c r="AB35" s="246">
        <v>7.587</v>
      </c>
      <c r="AC35" s="403">
        <v>8.514708763183696</v>
      </c>
      <c r="AD35" s="403">
        <v>9.130100123541187</v>
      </c>
      <c r="AE35" s="403">
        <v>9.881313326312377</v>
      </c>
      <c r="AF35" s="245">
        <f t="shared" si="1"/>
        <v>8.227874750620217</v>
      </c>
      <c r="AG35" s="244" t="s">
        <v>112</v>
      </c>
    </row>
    <row r="36" spans="1:33" ht="12.75" customHeight="1">
      <c r="A36" s="214"/>
      <c r="B36" s="225" t="s">
        <v>104</v>
      </c>
      <c r="C36" s="239"/>
      <c r="D36" s="239"/>
      <c r="E36" s="227"/>
      <c r="F36" s="227"/>
      <c r="G36" s="227"/>
      <c r="H36" s="227"/>
      <c r="I36" s="227"/>
      <c r="J36" s="237"/>
      <c r="K36" s="237"/>
      <c r="L36" s="237"/>
      <c r="M36" s="237"/>
      <c r="N36" s="237"/>
      <c r="O36" s="237"/>
      <c r="P36" s="237"/>
      <c r="Q36" s="237"/>
      <c r="R36" s="237"/>
      <c r="S36" s="237"/>
      <c r="T36" s="237"/>
      <c r="U36" s="237"/>
      <c r="V36" s="237"/>
      <c r="W36" s="237"/>
      <c r="X36" s="237"/>
      <c r="Y36" s="237">
        <v>4.079443943033051</v>
      </c>
      <c r="Z36" s="237">
        <v>3.929694286390853</v>
      </c>
      <c r="AA36" s="237">
        <v>3.976974965962094</v>
      </c>
      <c r="AB36" s="237">
        <v>4.073523343797696</v>
      </c>
      <c r="AC36" s="237">
        <v>4.025779622039214</v>
      </c>
      <c r="AD36" s="237">
        <v>4.085406232758256</v>
      </c>
      <c r="AE36" s="237">
        <v>4.496951770863971</v>
      </c>
      <c r="AF36" s="236">
        <f t="shared" si="1"/>
        <v>10.073552412139449</v>
      </c>
      <c r="AG36" s="225" t="s">
        <v>104</v>
      </c>
    </row>
    <row r="37" spans="1:33" ht="12.75" customHeight="1">
      <c r="A37" s="214"/>
      <c r="B37" s="221" t="s">
        <v>6</v>
      </c>
      <c r="C37" s="224"/>
      <c r="D37" s="224"/>
      <c r="E37" s="223"/>
      <c r="F37" s="223"/>
      <c r="G37" s="223"/>
      <c r="H37" s="243"/>
      <c r="I37" s="243"/>
      <c r="J37" s="242"/>
      <c r="K37" s="242"/>
      <c r="L37" s="242"/>
      <c r="M37" s="242"/>
      <c r="N37" s="242"/>
      <c r="O37" s="215">
        <v>4.793</v>
      </c>
      <c r="P37" s="215">
        <v>4.671</v>
      </c>
      <c r="Q37" s="215">
        <v>4.687</v>
      </c>
      <c r="R37" s="215">
        <v>4.637</v>
      </c>
      <c r="S37" s="215">
        <v>4.2</v>
      </c>
      <c r="T37" s="215">
        <v>3.974</v>
      </c>
      <c r="U37" s="215">
        <v>3.806</v>
      </c>
      <c r="V37" s="215">
        <v>3.974</v>
      </c>
      <c r="W37" s="215">
        <v>4.215</v>
      </c>
      <c r="X37" s="215">
        <v>4.244</v>
      </c>
      <c r="Y37" s="215">
        <v>4.683</v>
      </c>
      <c r="Z37" s="215">
        <v>5.322</v>
      </c>
      <c r="AA37" s="215">
        <v>5.116</v>
      </c>
      <c r="AB37" s="215">
        <v>6.341</v>
      </c>
      <c r="AC37" s="215">
        <v>6.769</v>
      </c>
      <c r="AD37" s="215">
        <v>6.987</v>
      </c>
      <c r="AE37" s="215">
        <v>7.192</v>
      </c>
      <c r="AF37" s="222">
        <f t="shared" si="1"/>
        <v>2.934020323457844</v>
      </c>
      <c r="AG37" s="221" t="s">
        <v>6</v>
      </c>
    </row>
    <row r="38" spans="1:33" ht="12.75" customHeight="1">
      <c r="A38" s="214"/>
      <c r="B38" s="225" t="s">
        <v>105</v>
      </c>
      <c r="C38" s="239"/>
      <c r="D38" s="239"/>
      <c r="E38" s="227"/>
      <c r="F38" s="227"/>
      <c r="G38" s="227"/>
      <c r="H38" s="238"/>
      <c r="I38" s="238"/>
      <c r="J38" s="237"/>
      <c r="K38" s="237"/>
      <c r="L38" s="237"/>
      <c r="M38" s="237"/>
      <c r="N38" s="237"/>
      <c r="O38" s="237"/>
      <c r="P38" s="237"/>
      <c r="Q38" s="237"/>
      <c r="R38" s="237"/>
      <c r="S38" s="237"/>
      <c r="T38" s="237"/>
      <c r="U38" s="237"/>
      <c r="V38" s="237"/>
      <c r="W38" s="237"/>
      <c r="X38" s="237"/>
      <c r="Y38" s="237">
        <v>30.589796610169493</v>
      </c>
      <c r="Z38" s="237">
        <v>26.07948717948718</v>
      </c>
      <c r="AA38" s="237">
        <v>26.5184804926127</v>
      </c>
      <c r="AB38" s="237">
        <v>27.10630859758152</v>
      </c>
      <c r="AC38" s="237">
        <v>27.918314222064502</v>
      </c>
      <c r="AD38" s="237">
        <v>28.61996915457172</v>
      </c>
      <c r="AE38" s="237">
        <v>29.51249293040295</v>
      </c>
      <c r="AF38" s="236">
        <f t="shared" si="1"/>
        <v>3.118535072525262</v>
      </c>
      <c r="AG38" s="225" t="s">
        <v>105</v>
      </c>
    </row>
    <row r="39" spans="1:33" s="235" customFormat="1" ht="12.75" customHeight="1">
      <c r="A39" s="240"/>
      <c r="B39" s="229" t="s">
        <v>24</v>
      </c>
      <c r="C39" s="234" t="s">
        <v>41</v>
      </c>
      <c r="D39" s="234" t="s">
        <v>41</v>
      </c>
      <c r="E39" s="231">
        <v>34.325</v>
      </c>
      <c r="F39" s="231">
        <v>33.58</v>
      </c>
      <c r="G39" s="231">
        <v>36.889</v>
      </c>
      <c r="H39" s="231">
        <v>41.848</v>
      </c>
      <c r="I39" s="231">
        <v>45.736</v>
      </c>
      <c r="J39" s="231">
        <v>52.652</v>
      </c>
      <c r="K39" s="231">
        <v>57.486</v>
      </c>
      <c r="L39" s="233">
        <v>62.5</v>
      </c>
      <c r="M39" s="233">
        <v>67.5</v>
      </c>
      <c r="N39" s="233">
        <v>72.5</v>
      </c>
      <c r="O39" s="233">
        <v>79</v>
      </c>
      <c r="P39" s="233">
        <v>81</v>
      </c>
      <c r="Q39" s="233">
        <v>82</v>
      </c>
      <c r="R39" s="233">
        <v>84</v>
      </c>
      <c r="S39" s="233">
        <v>95</v>
      </c>
      <c r="T39" s="233">
        <v>100</v>
      </c>
      <c r="U39" s="233">
        <v>108</v>
      </c>
      <c r="V39" s="233">
        <v>114</v>
      </c>
      <c r="W39" s="233">
        <v>120</v>
      </c>
      <c r="X39" s="232">
        <v>124.038</v>
      </c>
      <c r="Y39" s="231">
        <v>137.857</v>
      </c>
      <c r="Z39" s="231">
        <v>146.931</v>
      </c>
      <c r="AA39" s="231">
        <v>162.315</v>
      </c>
      <c r="AB39" s="231">
        <v>173.332</v>
      </c>
      <c r="AC39" s="231">
        <v>182.155</v>
      </c>
      <c r="AD39" s="231">
        <v>199.895</v>
      </c>
      <c r="AE39" s="231">
        <v>213.853</v>
      </c>
      <c r="AF39" s="230">
        <f t="shared" si="1"/>
        <v>6.982665899597279</v>
      </c>
      <c r="AG39" s="229" t="s">
        <v>24</v>
      </c>
    </row>
    <row r="40" spans="1:33" s="235" customFormat="1" ht="12.75" customHeight="1">
      <c r="A40" s="240"/>
      <c r="B40" s="225" t="s">
        <v>10</v>
      </c>
      <c r="C40" s="228" t="s">
        <v>41</v>
      </c>
      <c r="D40" s="228" t="s">
        <v>41</v>
      </c>
      <c r="E40" s="226" t="s">
        <v>41</v>
      </c>
      <c r="F40" s="226"/>
      <c r="G40" s="226"/>
      <c r="H40" s="226"/>
      <c r="I40" s="226"/>
      <c r="J40" s="226">
        <v>3.026</v>
      </c>
      <c r="K40" s="226">
        <v>3.168</v>
      </c>
      <c r="L40" s="226">
        <v>3.36</v>
      </c>
      <c r="M40" s="226">
        <v>3.561</v>
      </c>
      <c r="N40" s="226">
        <v>3.712</v>
      </c>
      <c r="O40" s="226">
        <v>3.765</v>
      </c>
      <c r="P40" s="226">
        <v>3.95</v>
      </c>
      <c r="Q40" s="226">
        <v>4.06</v>
      </c>
      <c r="R40" s="226">
        <v>4.174</v>
      </c>
      <c r="S40" s="226">
        <v>4.301</v>
      </c>
      <c r="T40" s="226">
        <v>4.558</v>
      </c>
      <c r="U40" s="227">
        <v>4.833</v>
      </c>
      <c r="V40" s="227">
        <v>5.077</v>
      </c>
      <c r="W40" s="227">
        <v>4.948</v>
      </c>
      <c r="X40" s="226">
        <v>5.002</v>
      </c>
      <c r="Y40" s="226">
        <v>4.958</v>
      </c>
      <c r="Z40" s="226">
        <v>4.776</v>
      </c>
      <c r="AA40" s="226">
        <v>4.832</v>
      </c>
      <c r="AB40" s="226">
        <v>4.971</v>
      </c>
      <c r="AC40" s="384">
        <v>5.226</v>
      </c>
      <c r="AD40" s="384">
        <v>5.578</v>
      </c>
      <c r="AE40" s="384">
        <v>6.468</v>
      </c>
      <c r="AF40" s="401">
        <f t="shared" si="1"/>
        <v>15.95553961993545</v>
      </c>
      <c r="AG40" s="225" t="s">
        <v>10</v>
      </c>
    </row>
    <row r="41" spans="1:33" ht="12" customHeight="1">
      <c r="A41" s="214"/>
      <c r="B41" s="221" t="s">
        <v>40</v>
      </c>
      <c r="C41" s="224">
        <f>17.781+0.429</f>
        <v>18.209999999999997</v>
      </c>
      <c r="D41" s="224">
        <f>30.436+0.625</f>
        <v>31.061</v>
      </c>
      <c r="E41" s="223">
        <f>42.696+0.523+0.278</f>
        <v>43.497</v>
      </c>
      <c r="F41" s="223">
        <f>42.252+0.513+0.247</f>
        <v>43.012</v>
      </c>
      <c r="G41" s="223">
        <f>42.39+0.545+0.237</f>
        <v>43.172000000000004</v>
      </c>
      <c r="H41" s="223">
        <f>43.128+0.553+0.262</f>
        <v>43.943</v>
      </c>
      <c r="I41" s="223">
        <f>43.605+0.561+0.367</f>
        <v>44.532999999999994</v>
      </c>
      <c r="J41" s="223">
        <f>43.659+0.566+0.505</f>
        <v>44.730000000000004</v>
      </c>
      <c r="K41" s="223">
        <f>45.217+0.57+0.642</f>
        <v>46.429</v>
      </c>
      <c r="L41" s="223">
        <f>46.078+0.6+0.98</f>
        <v>47.658</v>
      </c>
      <c r="M41" s="223">
        <f>47.294+0.613+1.359</f>
        <v>49.266</v>
      </c>
      <c r="N41" s="223">
        <f>48.233+0.601+1.497</f>
        <v>50.330999999999996</v>
      </c>
      <c r="O41" s="223">
        <f>49.055+0.583+1.535</f>
        <v>51.172999999999995</v>
      </c>
      <c r="P41" s="223">
        <f>50.226+0.609+1.522</f>
        <v>52.357</v>
      </c>
      <c r="Q41" s="223">
        <f>51.478+0.58+1.429</f>
        <v>53.487</v>
      </c>
      <c r="R41" s="223">
        <f>52.127+0.575+1.3</f>
        <v>54.002</v>
      </c>
      <c r="S41" s="223">
        <f>52.606+0.571+1.165</f>
        <v>54.342</v>
      </c>
      <c r="T41" s="223">
        <f>52.4+0.556+1.071</f>
        <v>54.026999999999994</v>
      </c>
      <c r="U41" s="223">
        <f>53.302+0.552+1.084</f>
        <v>54.938</v>
      </c>
      <c r="V41" s="223">
        <f>54.866+0.665+1.143</f>
        <v>56.674</v>
      </c>
      <c r="W41" s="223">
        <f>55.956+0.636+1.151</f>
        <v>57.74300000000001</v>
      </c>
      <c r="X41" s="223">
        <f>56.536+1.132+0.624</f>
        <v>58.292</v>
      </c>
      <c r="Y41" s="223">
        <f>57.034+1.199+0.545</f>
        <v>58.778</v>
      </c>
      <c r="Z41" s="223">
        <f>58.029+1.342+0.532</f>
        <v>59.903000000000006</v>
      </c>
      <c r="AA41" s="223">
        <f>58.701+1.487+0.516</f>
        <v>60.704</v>
      </c>
      <c r="AB41" s="223">
        <f>59.407+1.595+0.511</f>
        <v>61.513</v>
      </c>
      <c r="AC41" s="223">
        <f>61.288+1.698+0.494</f>
        <v>63.48</v>
      </c>
      <c r="AD41" s="223">
        <f>62.391+1.83+0.495</f>
        <v>64.71600000000001</v>
      </c>
      <c r="AE41" s="223">
        <f>62.63+1.926+0.436</f>
        <v>64.992</v>
      </c>
      <c r="AF41" s="222">
        <f t="shared" si="1"/>
        <v>0.4264787687743308</v>
      </c>
      <c r="AG41" s="221" t="s">
        <v>40</v>
      </c>
    </row>
    <row r="42" spans="1:33" ht="12.75" customHeight="1">
      <c r="A42" s="214"/>
      <c r="B42" s="216" t="s">
        <v>11</v>
      </c>
      <c r="C42" s="220">
        <v>41.836</v>
      </c>
      <c r="D42" s="220">
        <v>61.817</v>
      </c>
      <c r="E42" s="218">
        <v>73.271</v>
      </c>
      <c r="F42" s="218">
        <v>74.744</v>
      </c>
      <c r="G42" s="218">
        <v>73.372</v>
      </c>
      <c r="H42" s="218">
        <v>71.417</v>
      </c>
      <c r="I42" s="219">
        <v>68.358</v>
      </c>
      <c r="J42" s="218">
        <v>69.586</v>
      </c>
      <c r="K42" s="218">
        <v>70.774</v>
      </c>
      <c r="L42" s="218">
        <v>71.406</v>
      </c>
      <c r="M42" s="218">
        <v>72.54</v>
      </c>
      <c r="N42" s="218">
        <v>73.531</v>
      </c>
      <c r="O42" s="218">
        <v>74.984</v>
      </c>
      <c r="P42" s="218">
        <v>75.494</v>
      </c>
      <c r="Q42" s="218">
        <v>76.369</v>
      </c>
      <c r="R42" s="218">
        <v>77.001</v>
      </c>
      <c r="S42" s="218">
        <v>77.74</v>
      </c>
      <c r="T42" s="218">
        <v>77.844</v>
      </c>
      <c r="U42" s="218">
        <v>78.394</v>
      </c>
      <c r="V42" s="218">
        <v>79.261</v>
      </c>
      <c r="W42" s="218">
        <v>81.397</v>
      </c>
      <c r="X42" s="218">
        <v>83.887</v>
      </c>
      <c r="Y42" s="218">
        <v>85.934</v>
      </c>
      <c r="Z42" s="218">
        <v>86.723</v>
      </c>
      <c r="AA42" s="218">
        <v>88.15</v>
      </c>
      <c r="AB42" s="218">
        <v>89.467</v>
      </c>
      <c r="AC42" s="385">
        <v>90.704</v>
      </c>
      <c r="AD42" s="385">
        <v>91.995</v>
      </c>
      <c r="AE42" s="435">
        <v>93.97</v>
      </c>
      <c r="AF42" s="217">
        <f t="shared" si="1"/>
        <v>2.146855807380831</v>
      </c>
      <c r="AG42" s="216" t="s">
        <v>11</v>
      </c>
    </row>
    <row r="43" spans="1:33" ht="12.75" customHeight="1">
      <c r="A43" s="214"/>
      <c r="B43" s="213" t="s">
        <v>102</v>
      </c>
      <c r="C43" s="212"/>
      <c r="D43" s="212"/>
      <c r="E43" s="212"/>
      <c r="F43" s="212"/>
      <c r="G43" s="212"/>
      <c r="H43" s="212"/>
      <c r="I43" s="212"/>
      <c r="J43" s="212"/>
      <c r="K43" s="212"/>
      <c r="L43" s="212"/>
      <c r="M43" s="212"/>
      <c r="N43" s="212"/>
      <c r="O43" s="212"/>
      <c r="P43" s="212"/>
      <c r="Q43" s="212"/>
      <c r="R43" s="212"/>
      <c r="S43" s="212"/>
      <c r="T43" s="211"/>
      <c r="U43" s="211"/>
      <c r="V43" s="211"/>
      <c r="W43" s="211"/>
      <c r="X43" s="211"/>
      <c r="Y43" s="211"/>
      <c r="Z43" s="211"/>
      <c r="AA43" s="211"/>
      <c r="AB43" s="211"/>
      <c r="AC43" s="211"/>
      <c r="AD43" s="211"/>
      <c r="AE43" s="211"/>
      <c r="AG43" s="211"/>
    </row>
    <row r="44" spans="1:33" ht="12.75" customHeight="1">
      <c r="A44" s="214"/>
      <c r="B44" s="210" t="s">
        <v>5</v>
      </c>
      <c r="C44" s="209"/>
      <c r="D44" s="207"/>
      <c r="E44" s="206"/>
      <c r="F44" s="206"/>
      <c r="G44" s="206"/>
      <c r="H44" s="208"/>
      <c r="I44" s="206"/>
      <c r="J44" s="207"/>
      <c r="K44" s="208"/>
      <c r="L44" s="206"/>
      <c r="M44" s="206"/>
      <c r="N44" s="207"/>
      <c r="O44" s="207"/>
      <c r="P44" s="206"/>
      <c r="Q44" s="206"/>
      <c r="R44" s="205"/>
      <c r="S44" s="205"/>
      <c r="T44" s="204"/>
      <c r="U44" s="204"/>
      <c r="V44" s="204"/>
      <c r="W44" s="204"/>
      <c r="X44" s="204"/>
      <c r="Y44" s="204"/>
      <c r="Z44" s="204"/>
      <c r="AA44" s="204"/>
      <c r="AB44" s="204"/>
      <c r="AC44" s="204"/>
      <c r="AD44" s="204"/>
      <c r="AE44" s="204"/>
      <c r="AF44" s="204"/>
      <c r="AG44" s="204"/>
    </row>
    <row r="45" spans="1:2" ht="15" customHeight="1">
      <c r="A45" s="214"/>
      <c r="B45" s="203" t="s">
        <v>132</v>
      </c>
    </row>
    <row r="46" ht="12.75" customHeight="1">
      <c r="B46" s="201" t="s">
        <v>114</v>
      </c>
    </row>
    <row r="47" ht="12.75" customHeight="1">
      <c r="B47" s="201" t="s">
        <v>74</v>
      </c>
    </row>
    <row r="48" spans="1:2" ht="13.5" customHeight="1">
      <c r="A48" s="199"/>
      <c r="B48" s="201" t="s">
        <v>115</v>
      </c>
    </row>
    <row r="49" spans="1:2" ht="12.75" customHeight="1">
      <c r="A49" s="199"/>
      <c r="B49" s="199" t="s">
        <v>116</v>
      </c>
    </row>
    <row r="50" spans="1:18" ht="12.75" customHeight="1">
      <c r="A50" s="199"/>
      <c r="B50" s="199" t="s">
        <v>117</v>
      </c>
      <c r="K50" s="215"/>
      <c r="L50" s="215"/>
      <c r="M50" s="215"/>
      <c r="N50" s="215"/>
      <c r="O50" s="215"/>
      <c r="P50" s="215"/>
      <c r="Q50" s="215"/>
      <c r="R50" s="215"/>
    </row>
    <row r="51" ht="11.25">
      <c r="B51" s="257" t="s">
        <v>135</v>
      </c>
    </row>
    <row r="52" ht="11.25">
      <c r="B52" s="257" t="s">
        <v>124</v>
      </c>
    </row>
    <row r="55" spans="5:31" ht="11.25">
      <c r="E55" s="173"/>
      <c r="F55" s="173"/>
      <c r="G55" s="173"/>
      <c r="H55" s="173"/>
      <c r="I55" s="173"/>
      <c r="J55" s="173"/>
      <c r="K55" s="173"/>
      <c r="L55" s="173"/>
      <c r="M55" s="173"/>
      <c r="N55" s="173"/>
      <c r="O55" s="173"/>
      <c r="P55" s="173"/>
      <c r="Q55" s="173"/>
      <c r="R55" s="173"/>
      <c r="AC55" s="173"/>
      <c r="AD55" s="173"/>
      <c r="AE55" s="173"/>
    </row>
    <row r="56" spans="5:31" ht="11.25">
      <c r="E56" s="173"/>
      <c r="F56" s="173"/>
      <c r="G56" s="173"/>
      <c r="H56" s="173"/>
      <c r="I56" s="173"/>
      <c r="J56" s="173"/>
      <c r="K56" s="173"/>
      <c r="L56" s="173"/>
      <c r="M56" s="173"/>
      <c r="N56" s="173"/>
      <c r="O56" s="173"/>
      <c r="P56" s="173"/>
      <c r="Q56" s="173"/>
      <c r="R56" s="173"/>
      <c r="AC56" s="173"/>
      <c r="AD56" s="173"/>
      <c r="AE56" s="173"/>
    </row>
    <row r="57" spans="5:31" ht="11.25">
      <c r="E57" s="405"/>
      <c r="F57" s="405"/>
      <c r="G57" s="405"/>
      <c r="H57" s="405"/>
      <c r="I57" s="405"/>
      <c r="J57" s="405"/>
      <c r="K57" s="405"/>
      <c r="L57" s="405"/>
      <c r="M57" s="405"/>
      <c r="N57" s="405"/>
      <c r="O57" s="405"/>
      <c r="P57" s="405"/>
      <c r="Q57" s="405"/>
      <c r="R57" s="405"/>
      <c r="AC57" s="405"/>
      <c r="AD57" s="405"/>
      <c r="AE57" s="405"/>
    </row>
    <row r="58" spans="5:31" ht="11.25">
      <c r="E58" s="215"/>
      <c r="F58" s="215"/>
      <c r="G58" s="215"/>
      <c r="H58" s="215"/>
      <c r="I58" s="215"/>
      <c r="J58" s="215"/>
      <c r="K58" s="215"/>
      <c r="L58" s="215"/>
      <c r="M58" s="215"/>
      <c r="N58" s="215"/>
      <c r="O58" s="215"/>
      <c r="P58" s="215"/>
      <c r="Q58" s="215"/>
      <c r="R58" s="215"/>
      <c r="AC58" s="215"/>
      <c r="AD58" s="215"/>
      <c r="AE58" s="215"/>
    </row>
    <row r="59" spans="30:31" ht="11.25">
      <c r="AD59" s="215"/>
      <c r="AE59" s="215"/>
    </row>
    <row r="60" spans="30:31" ht="11.25">
      <c r="AD60" s="215"/>
      <c r="AE60" s="215"/>
    </row>
    <row r="61" spans="30:31" ht="11.25">
      <c r="AD61" s="215"/>
      <c r="AE61" s="215"/>
    </row>
    <row r="62" spans="30:31" ht="11.25">
      <c r="AD62" s="215"/>
      <c r="AE62" s="215"/>
    </row>
    <row r="63" spans="30:31" ht="11.25">
      <c r="AD63" s="215"/>
      <c r="AE63" s="215"/>
    </row>
    <row r="64" spans="30:31" ht="11.25">
      <c r="AD64" s="215"/>
      <c r="AE64" s="215"/>
    </row>
    <row r="65" spans="30:31" ht="11.25">
      <c r="AD65" s="215"/>
      <c r="AE65" s="215"/>
    </row>
    <row r="66" spans="30:31" ht="11.25">
      <c r="AD66" s="215"/>
      <c r="AE66" s="215"/>
    </row>
    <row r="67" spans="30:31" ht="11.25">
      <c r="AD67" s="215"/>
      <c r="AE67" s="215"/>
    </row>
    <row r="68" spans="30:31" ht="11.25">
      <c r="AD68" s="215"/>
      <c r="AE68" s="215"/>
    </row>
    <row r="69" spans="30:31" ht="11.25">
      <c r="AD69" s="215"/>
      <c r="AE69" s="215"/>
    </row>
    <row r="70" spans="30:31" ht="11.25">
      <c r="AD70" s="215"/>
      <c r="AE70" s="215"/>
    </row>
    <row r="71" spans="30:31" ht="11.25">
      <c r="AD71" s="215"/>
      <c r="AE71" s="215"/>
    </row>
    <row r="72" spans="30:31" ht="11.25">
      <c r="AD72" s="215"/>
      <c r="AE72" s="215"/>
    </row>
    <row r="73" spans="30:31" ht="11.25">
      <c r="AD73" s="215"/>
      <c r="AE73" s="215"/>
    </row>
    <row r="74" spans="30:31" ht="11.25">
      <c r="AD74" s="215"/>
      <c r="AE74" s="215"/>
    </row>
    <row r="75" spans="30:31" ht="11.25">
      <c r="AD75" s="215"/>
      <c r="AE75" s="215"/>
    </row>
    <row r="76" spans="30:31" ht="11.25">
      <c r="AD76" s="215"/>
      <c r="AE76" s="215"/>
    </row>
    <row r="77" spans="30:31" ht="11.25">
      <c r="AD77" s="215"/>
      <c r="AE77" s="215"/>
    </row>
    <row r="78" spans="30:31" ht="11.25">
      <c r="AD78" s="215"/>
      <c r="AE78" s="215"/>
    </row>
    <row r="79" spans="30:31" ht="11.25">
      <c r="AD79" s="215"/>
      <c r="AE79" s="215"/>
    </row>
    <row r="80" spans="30:31" ht="11.25">
      <c r="AD80" s="215"/>
      <c r="AE80" s="215"/>
    </row>
    <row r="81" spans="30:31" ht="11.25">
      <c r="AD81" s="215"/>
      <c r="AE81" s="215"/>
    </row>
    <row r="82" spans="30:31" ht="11.25">
      <c r="AD82" s="215"/>
      <c r="AE82" s="215"/>
    </row>
    <row r="83" spans="30:31" ht="11.25">
      <c r="AD83" s="215"/>
      <c r="AE83" s="215"/>
    </row>
    <row r="84" spans="30:31" ht="11.25">
      <c r="AD84" s="215"/>
      <c r="AE84" s="215"/>
    </row>
    <row r="85" spans="30:31" ht="11.25">
      <c r="AD85" s="215"/>
      <c r="AE85" s="215"/>
    </row>
  </sheetData>
  <sheetProtection/>
  <mergeCells count="1">
    <mergeCell ref="B2:AG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70"/>
  <sheetViews>
    <sheetView zoomScalePageLayoutView="0" workbookViewId="0" topLeftCell="Q1">
      <selection activeCell="AJ15" sqref="AJ15"/>
    </sheetView>
  </sheetViews>
  <sheetFormatPr defaultColWidth="9.140625" defaultRowHeight="12.75"/>
  <cols>
    <col min="1" max="1" width="2.7109375" style="199" customWidth="1"/>
    <col min="2" max="2" width="4.28125" style="199" customWidth="1"/>
    <col min="3" max="14" width="6.7109375" style="199" customWidth="1"/>
    <col min="15" max="15" width="10.140625" style="199" customWidth="1"/>
    <col min="16" max="16" width="10.421875" style="199" bestFit="1" customWidth="1"/>
    <col min="17" max="17" width="8.7109375" style="199" bestFit="1" customWidth="1"/>
    <col min="18" max="20" width="10.421875" style="199" bestFit="1" customWidth="1"/>
    <col min="21" max="21" width="7.28125" style="199" customWidth="1"/>
    <col min="22" max="22" width="7.8515625" style="199" customWidth="1"/>
    <col min="23" max="31" width="7.28125" style="199" customWidth="1"/>
    <col min="32" max="32" width="6.28125" style="199" customWidth="1"/>
    <col min="33" max="33" width="5.140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8"/>
      <c r="T1" s="288"/>
      <c r="U1" s="288"/>
      <c r="V1" s="288"/>
      <c r="W1" s="288"/>
      <c r="X1" s="288"/>
      <c r="Y1" s="288"/>
      <c r="Z1" s="288"/>
      <c r="AA1" s="288"/>
      <c r="AB1" s="288"/>
      <c r="AC1" s="288"/>
      <c r="AD1" s="288"/>
      <c r="AE1" s="288"/>
      <c r="AG1" s="288" t="s">
        <v>89</v>
      </c>
    </row>
    <row r="2" spans="2:33" s="203" customFormat="1" ht="30" customHeight="1">
      <c r="B2" s="520" t="s">
        <v>46</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0.5" customHeight="1">
      <c r="C3" s="286"/>
      <c r="D3" s="286"/>
      <c r="E3" s="286"/>
      <c r="F3" s="286"/>
      <c r="G3" s="286"/>
      <c r="H3" s="286"/>
      <c r="I3" s="286"/>
      <c r="J3" s="286"/>
      <c r="K3" s="286"/>
      <c r="L3" s="286"/>
      <c r="M3" s="286"/>
      <c r="N3" s="286"/>
      <c r="O3" s="286"/>
      <c r="P3" s="286"/>
      <c r="Q3" s="286"/>
      <c r="R3" s="286"/>
      <c r="Y3" s="286"/>
      <c r="Z3" s="286"/>
      <c r="AA3" s="286"/>
      <c r="AB3" s="286"/>
      <c r="AC3" s="286"/>
      <c r="AD3" s="286"/>
      <c r="AE3" s="286" t="s">
        <v>106</v>
      </c>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0" t="s">
        <v>41</v>
      </c>
      <c r="D6" s="470" t="s">
        <v>41</v>
      </c>
      <c r="E6" s="471" t="s">
        <v>41</v>
      </c>
      <c r="F6" s="471" t="s">
        <v>41</v>
      </c>
      <c r="G6" s="471" t="s">
        <v>41</v>
      </c>
      <c r="H6" s="471" t="s">
        <v>41</v>
      </c>
      <c r="I6" s="471" t="s">
        <v>41</v>
      </c>
      <c r="J6" s="472">
        <f aca="true" t="shared" si="0" ref="J6:AE6">SUM(J7:J34)</f>
        <v>514.7284657948057</v>
      </c>
      <c r="K6" s="472">
        <f t="shared" si="0"/>
        <v>519.3074723402809</v>
      </c>
      <c r="L6" s="472">
        <f t="shared" si="0"/>
        <v>522.4775718300093</v>
      </c>
      <c r="M6" s="472">
        <f t="shared" si="0"/>
        <v>525.5552769022315</v>
      </c>
      <c r="N6" s="472">
        <f t="shared" si="0"/>
        <v>527.7253265321467</v>
      </c>
      <c r="O6" s="472">
        <f t="shared" si="0"/>
        <v>551.2284300559636</v>
      </c>
      <c r="P6" s="472">
        <f t="shared" si="0"/>
        <v>550.4064586271504</v>
      </c>
      <c r="Q6" s="472">
        <f t="shared" si="0"/>
        <v>541.8320172296691</v>
      </c>
      <c r="R6" s="472">
        <f t="shared" si="0"/>
        <v>548.5824828345259</v>
      </c>
      <c r="S6" s="472">
        <f t="shared" si="0"/>
        <v>549.7120356015313</v>
      </c>
      <c r="T6" s="472">
        <f t="shared" si="0"/>
        <v>548.5277626994381</v>
      </c>
      <c r="U6" s="472">
        <f t="shared" si="0"/>
        <v>546.4580916006065</v>
      </c>
      <c r="V6" s="472">
        <f t="shared" si="0"/>
        <v>558.9344683392787</v>
      </c>
      <c r="W6" s="472">
        <f t="shared" si="0"/>
        <v>569.6544956807959</v>
      </c>
      <c r="X6" s="472">
        <f t="shared" si="0"/>
        <v>548.3614794772514</v>
      </c>
      <c r="Y6" s="472">
        <f t="shared" si="0"/>
        <v>544.393734511463</v>
      </c>
      <c r="Z6" s="472">
        <f t="shared" si="0"/>
        <v>547.8456602360618</v>
      </c>
      <c r="AA6" s="472">
        <f t="shared" si="0"/>
        <v>545.7027959657847</v>
      </c>
      <c r="AB6" s="472">
        <f t="shared" si="0"/>
        <v>543.6294775091428</v>
      </c>
      <c r="AC6" s="472">
        <f t="shared" si="0"/>
        <v>539.863499724901</v>
      </c>
      <c r="AD6" s="472">
        <f t="shared" si="0"/>
        <v>550.3305789543963</v>
      </c>
      <c r="AE6" s="473">
        <f t="shared" si="0"/>
        <v>551.9902934375672</v>
      </c>
      <c r="AF6" s="469">
        <f>AE6/AD6*100-100</f>
        <v>0.30158500120495546</v>
      </c>
      <c r="AG6" s="440" t="s">
        <v>113</v>
      </c>
    </row>
    <row r="7" spans="1:33" ht="12.75" customHeight="1">
      <c r="A7" s="214"/>
      <c r="B7" s="221" t="s">
        <v>29</v>
      </c>
      <c r="C7" s="266">
        <v>12.153</v>
      </c>
      <c r="D7" s="266">
        <v>14.422</v>
      </c>
      <c r="E7" s="272">
        <v>11.371379813302717</v>
      </c>
      <c r="F7" s="272">
        <v>11.928856672785459</v>
      </c>
      <c r="G7" s="272">
        <v>12.208590988011615</v>
      </c>
      <c r="H7" s="272">
        <v>12.449307712355173</v>
      </c>
      <c r="I7" s="272">
        <v>12.920557778575041</v>
      </c>
      <c r="J7" s="272">
        <v>13.1163927490109</v>
      </c>
      <c r="K7" s="272">
        <v>13.048036161999931</v>
      </c>
      <c r="L7" s="263">
        <v>13.062294037072977</v>
      </c>
      <c r="M7" s="263">
        <v>13.264206083397962</v>
      </c>
      <c r="N7" s="264">
        <v>13.441653719101833</v>
      </c>
      <c r="O7" s="263">
        <v>13.298261168538518</v>
      </c>
      <c r="P7" s="263">
        <v>13.785338279369089</v>
      </c>
      <c r="Q7" s="263">
        <v>14.959423828844177</v>
      </c>
      <c r="R7" s="263">
        <v>16.483572017775955</v>
      </c>
      <c r="S7" s="263">
        <v>17.1429920041393</v>
      </c>
      <c r="T7" s="263">
        <v>17.51504805548251</v>
      </c>
      <c r="U7" s="263">
        <v>18.078005341336816</v>
      </c>
      <c r="V7" s="263">
        <v>18.729636998103302</v>
      </c>
      <c r="W7" s="263">
        <v>17.61</v>
      </c>
      <c r="X7" s="263">
        <v>17.63</v>
      </c>
      <c r="Y7" s="263">
        <v>17.38</v>
      </c>
      <c r="Z7" s="263">
        <v>17.67</v>
      </c>
      <c r="AA7" s="263">
        <v>17.91</v>
      </c>
      <c r="AB7" s="393">
        <v>15.7664</v>
      </c>
      <c r="AC7" s="263">
        <v>15.4046</v>
      </c>
      <c r="AD7" s="263">
        <v>14.3808</v>
      </c>
      <c r="AE7" s="406">
        <v>13.5866</v>
      </c>
      <c r="AF7" s="262">
        <f aca="true" t="shared" si="1" ref="AF7:AF42">AE7/AD7*100-100</f>
        <v>-5.522641299510454</v>
      </c>
      <c r="AG7" s="221" t="s">
        <v>29</v>
      </c>
    </row>
    <row r="8" spans="1:33" ht="12.75" customHeight="1">
      <c r="A8" s="214"/>
      <c r="B8" s="225" t="s">
        <v>12</v>
      </c>
      <c r="C8" s="239">
        <v>12.235</v>
      </c>
      <c r="D8" s="239">
        <v>21.614</v>
      </c>
      <c r="E8" s="227">
        <v>25.955</v>
      </c>
      <c r="F8" s="227">
        <v>19.026</v>
      </c>
      <c r="G8" s="227">
        <v>16.957</v>
      </c>
      <c r="H8" s="227">
        <v>14.062</v>
      </c>
      <c r="I8" s="227">
        <v>12.817</v>
      </c>
      <c r="J8" s="254">
        <v>11.566</v>
      </c>
      <c r="K8" s="254">
        <v>10.577</v>
      </c>
      <c r="L8" s="254">
        <v>11.863</v>
      </c>
      <c r="M8" s="254">
        <v>12.764</v>
      </c>
      <c r="N8" s="254">
        <v>14.741</v>
      </c>
      <c r="O8" s="254">
        <v>14.587</v>
      </c>
      <c r="P8" s="254">
        <v>14.963</v>
      </c>
      <c r="Q8" s="254">
        <v>16.985</v>
      </c>
      <c r="R8" s="254">
        <v>14.4</v>
      </c>
      <c r="S8" s="254">
        <v>13.029</v>
      </c>
      <c r="T8" s="227">
        <v>13.688</v>
      </c>
      <c r="U8" s="227">
        <v>12.942</v>
      </c>
      <c r="V8" s="227">
        <v>13.571</v>
      </c>
      <c r="W8" s="227">
        <v>13.839</v>
      </c>
      <c r="X8" s="227">
        <v>10.451</v>
      </c>
      <c r="Y8" s="227">
        <v>10.613</v>
      </c>
      <c r="Z8" s="227">
        <v>10.843</v>
      </c>
      <c r="AA8" s="227">
        <v>10.482</v>
      </c>
      <c r="AB8" s="227">
        <v>10.317</v>
      </c>
      <c r="AC8" s="227">
        <v>11.477</v>
      </c>
      <c r="AD8" s="227">
        <v>12.508</v>
      </c>
      <c r="AE8" s="408">
        <v>12.21</v>
      </c>
      <c r="AF8" s="248">
        <f t="shared" si="1"/>
        <v>-2.382475215861831</v>
      </c>
      <c r="AG8" s="225" t="s">
        <v>12</v>
      </c>
    </row>
    <row r="9" spans="1:33" s="235" customFormat="1" ht="12.75" customHeight="1">
      <c r="A9" s="240"/>
      <c r="B9" s="221" t="s">
        <v>14</v>
      </c>
      <c r="C9" s="317"/>
      <c r="D9" s="317"/>
      <c r="E9" s="316"/>
      <c r="F9" s="272" t="s">
        <v>41</v>
      </c>
      <c r="G9" s="272" t="s">
        <v>41</v>
      </c>
      <c r="H9" s="272">
        <v>13.617</v>
      </c>
      <c r="I9" s="315">
        <v>11.523</v>
      </c>
      <c r="J9" s="272">
        <f>11.7632+1.1693+5.668</f>
        <v>18.6005</v>
      </c>
      <c r="K9" s="272">
        <f>9.7292+1.2833+5.59</f>
        <v>16.6025</v>
      </c>
      <c r="L9" s="272">
        <f>8.804+1.2948+5.512</f>
        <v>15.610800000000001</v>
      </c>
      <c r="M9" s="272">
        <f>8.6809+1.234+5.4582</f>
        <v>15.373099999999999</v>
      </c>
      <c r="N9" s="315">
        <f>8.649+1.2615+5.5333</f>
        <v>15.4438</v>
      </c>
      <c r="O9" s="272">
        <f>9.3513+1.221+5.599</f>
        <v>16.171300000000002</v>
      </c>
      <c r="P9" s="272">
        <f>10.6081+1.2103+5.7009</f>
        <v>17.5193</v>
      </c>
      <c r="Q9" s="272">
        <f>9.6675+1.1339+5.7291</f>
        <v>16.5305</v>
      </c>
      <c r="R9" s="272">
        <f>9.4486+1.1103+5.8659</f>
        <v>16.4248</v>
      </c>
      <c r="S9" s="272">
        <f>8.5162+1.1043+5.5975</f>
        <v>15.218</v>
      </c>
      <c r="T9" s="272">
        <f>8.6073+7.0006</f>
        <v>15.6079</v>
      </c>
      <c r="U9" s="272">
        <f>9.5012+6.5139</f>
        <v>16.0151</v>
      </c>
      <c r="V9" s="272">
        <f>9.5188+6.6021</f>
        <v>16.1209</v>
      </c>
      <c r="W9" s="272">
        <f>9.3691+6.7378</f>
        <v>16.1069</v>
      </c>
      <c r="X9" s="272">
        <v>16.062</v>
      </c>
      <c r="Y9" s="272">
        <f>10.3357+1.0618+5.5581</f>
        <v>16.955599999999997</v>
      </c>
      <c r="Z9" s="272">
        <f>1.0184+5.5477+9.2667</f>
        <v>15.832799999999999</v>
      </c>
      <c r="AA9" s="272">
        <f>9.0154+0.8681+5.4433</f>
        <v>15.326799999999999</v>
      </c>
      <c r="AB9" s="272">
        <f>0.9886+5.7067+9.0256</f>
        <v>15.7209</v>
      </c>
      <c r="AC9" s="272">
        <f>10.0102+0.9721+5.7406</f>
        <v>16.7229</v>
      </c>
      <c r="AD9" s="272">
        <f>9.9959+0.856+5.411</f>
        <v>16.262900000000002</v>
      </c>
      <c r="AE9" s="409">
        <f>10.2571+0.8689+5.5842</f>
        <v>16.7102</v>
      </c>
      <c r="AF9" s="271">
        <f t="shared" si="1"/>
        <v>2.7504319647787128</v>
      </c>
      <c r="AG9" s="221" t="s">
        <v>14</v>
      </c>
    </row>
    <row r="10" spans="1:33" ht="12.75" customHeight="1">
      <c r="A10" s="214"/>
      <c r="B10" s="225" t="s">
        <v>25</v>
      </c>
      <c r="C10" s="239">
        <v>3.898</v>
      </c>
      <c r="D10" s="239">
        <v>4.611</v>
      </c>
      <c r="E10" s="227">
        <v>6.443</v>
      </c>
      <c r="F10" s="227">
        <v>6.394</v>
      </c>
      <c r="G10" s="227">
        <v>6.421</v>
      </c>
      <c r="H10" s="227">
        <v>6.601</v>
      </c>
      <c r="I10" s="227">
        <v>6.745</v>
      </c>
      <c r="J10" s="227">
        <v>7.284</v>
      </c>
      <c r="K10" s="227">
        <v>7.717</v>
      </c>
      <c r="L10" s="227">
        <v>7.596</v>
      </c>
      <c r="M10" s="227">
        <v>7.543</v>
      </c>
      <c r="N10" s="227">
        <v>7.397</v>
      </c>
      <c r="O10" s="227">
        <v>7.418</v>
      </c>
      <c r="P10" s="227">
        <v>7.332</v>
      </c>
      <c r="Q10" s="227">
        <v>7.295</v>
      </c>
      <c r="R10" s="227">
        <v>7.272</v>
      </c>
      <c r="S10" s="227">
        <v>7.3</v>
      </c>
      <c r="T10" s="227">
        <v>7.169</v>
      </c>
      <c r="U10" s="227">
        <v>7.054</v>
      </c>
      <c r="V10" s="227">
        <v>6.845</v>
      </c>
      <c r="W10" s="227">
        <v>6.739</v>
      </c>
      <c r="X10" s="227">
        <v>6.746</v>
      </c>
      <c r="Y10" s="227">
        <v>6.821</v>
      </c>
      <c r="Z10" s="227">
        <v>6.673</v>
      </c>
      <c r="AA10" s="227">
        <v>6.466</v>
      </c>
      <c r="AB10" s="227">
        <v>6.466</v>
      </c>
      <c r="AC10" s="227">
        <v>6.558</v>
      </c>
      <c r="AD10" s="227">
        <v>6.855</v>
      </c>
      <c r="AE10" s="408">
        <v>7.082</v>
      </c>
      <c r="AF10" s="414">
        <f t="shared" si="1"/>
        <v>3.311451495258936</v>
      </c>
      <c r="AG10" s="225" t="s">
        <v>25</v>
      </c>
    </row>
    <row r="11" spans="1:33" s="235" customFormat="1" ht="12.75" customHeight="1">
      <c r="A11" s="240"/>
      <c r="B11" s="221" t="s">
        <v>30</v>
      </c>
      <c r="C11" s="314">
        <v>67.7</v>
      </c>
      <c r="D11" s="313">
        <v>90</v>
      </c>
      <c r="E11" s="272">
        <v>73.1</v>
      </c>
      <c r="F11" s="272">
        <v>70.3</v>
      </c>
      <c r="G11" s="272">
        <v>69.9</v>
      </c>
      <c r="H11" s="272">
        <v>70.2</v>
      </c>
      <c r="I11" s="272">
        <v>68.6</v>
      </c>
      <c r="J11" s="272">
        <v>68.5</v>
      </c>
      <c r="K11" s="272">
        <v>68.3</v>
      </c>
      <c r="L11" s="272">
        <v>68</v>
      </c>
      <c r="M11" s="272">
        <v>68.2</v>
      </c>
      <c r="N11" s="272">
        <v>68</v>
      </c>
      <c r="O11" s="272">
        <v>69</v>
      </c>
      <c r="P11" s="272">
        <v>68.7</v>
      </c>
      <c r="Q11" s="272">
        <v>67.5</v>
      </c>
      <c r="R11" s="272">
        <v>67.5</v>
      </c>
      <c r="S11" s="272">
        <f>40.359+27.447</f>
        <v>67.806</v>
      </c>
      <c r="T11" s="272">
        <f>40.365+26.697</f>
        <v>67.062</v>
      </c>
      <c r="U11" s="272">
        <f>38.542+1.495+26.147</f>
        <v>66.184</v>
      </c>
      <c r="V11" s="272">
        <f>40.141+25.246</f>
        <v>65.387</v>
      </c>
      <c r="W11" s="272">
        <f>39.479+24.113</f>
        <v>63.592</v>
      </c>
      <c r="X11" s="272">
        <v>62.097</v>
      </c>
      <c r="Y11" s="272">
        <v>61.767</v>
      </c>
      <c r="Z11" s="272">
        <v>61.4</v>
      </c>
      <c r="AA11" s="272">
        <v>59.4</v>
      </c>
      <c r="AB11" s="272">
        <v>60.5</v>
      </c>
      <c r="AC11" s="272">
        <v>62.2</v>
      </c>
      <c r="AD11" s="272">
        <v>65.1</v>
      </c>
      <c r="AE11" s="409">
        <v>64</v>
      </c>
      <c r="AF11" s="222">
        <f t="shared" si="1"/>
        <v>-1.6897081413210344</v>
      </c>
      <c r="AG11" s="221" t="s">
        <v>30</v>
      </c>
    </row>
    <row r="12" spans="1:33" ht="12.75" customHeight="1">
      <c r="A12" s="214"/>
      <c r="B12" s="225" t="s">
        <v>15</v>
      </c>
      <c r="C12" s="239">
        <v>2.61</v>
      </c>
      <c r="D12" s="239">
        <v>3.66</v>
      </c>
      <c r="E12" s="227">
        <v>4.45</v>
      </c>
      <c r="F12" s="227">
        <v>3.83</v>
      </c>
      <c r="G12" s="227">
        <v>2.97</v>
      </c>
      <c r="H12" s="227">
        <v>2.54</v>
      </c>
      <c r="I12" s="227">
        <v>2.35</v>
      </c>
      <c r="J12" s="227">
        <v>2.048</v>
      </c>
      <c r="K12" s="227">
        <v>2.091</v>
      </c>
      <c r="L12" s="227">
        <v>2.238</v>
      </c>
      <c r="M12" s="227">
        <v>2.265</v>
      </c>
      <c r="N12" s="227">
        <v>2.223</v>
      </c>
      <c r="O12" s="227">
        <v>2.63</v>
      </c>
      <c r="P12" s="227">
        <v>2.461</v>
      </c>
      <c r="Q12" s="227">
        <v>2.33</v>
      </c>
      <c r="R12" s="227">
        <v>2.297</v>
      </c>
      <c r="S12" s="227">
        <v>2.469</v>
      </c>
      <c r="T12" s="227">
        <v>2.716</v>
      </c>
      <c r="U12" s="227">
        <v>2.881</v>
      </c>
      <c r="V12" s="227">
        <v>2.677</v>
      </c>
      <c r="W12" s="227">
        <v>2.453</v>
      </c>
      <c r="X12" s="227">
        <v>2.114</v>
      </c>
      <c r="Y12" s="227">
        <f>2.061</f>
        <v>2.061</v>
      </c>
      <c r="Z12" s="227">
        <v>2.0706943</v>
      </c>
      <c r="AA12" s="227">
        <v>2.2335885</v>
      </c>
      <c r="AB12" s="227">
        <f>2.4146148</f>
        <v>2.4146148</v>
      </c>
      <c r="AC12" s="227">
        <v>2.3926965</v>
      </c>
      <c r="AD12" s="227">
        <v>3.1464145</v>
      </c>
      <c r="AE12" s="408">
        <v>2.8647497</v>
      </c>
      <c r="AF12" s="248">
        <f t="shared" si="1"/>
        <v>-8.95192925153377</v>
      </c>
      <c r="AG12" s="225" t="s">
        <v>15</v>
      </c>
    </row>
    <row r="13" spans="1:33" s="235" customFormat="1" ht="12.75" customHeight="1">
      <c r="A13" s="240"/>
      <c r="B13" s="221" t="s">
        <v>33</v>
      </c>
      <c r="C13" s="266">
        <v>3.3</v>
      </c>
      <c r="D13" s="266">
        <v>4.5</v>
      </c>
      <c r="E13" s="263">
        <v>3.86</v>
      </c>
      <c r="F13" s="263">
        <v>4.1</v>
      </c>
      <c r="G13" s="263">
        <v>4.3</v>
      </c>
      <c r="H13" s="263">
        <v>4.49</v>
      </c>
      <c r="I13" s="263">
        <v>5</v>
      </c>
      <c r="J13" s="263">
        <v>5.15</v>
      </c>
      <c r="K13" s="263">
        <v>5.3</v>
      </c>
      <c r="L13" s="264">
        <v>5.5</v>
      </c>
      <c r="M13" s="264">
        <v>5.7</v>
      </c>
      <c r="N13" s="264">
        <v>5.9</v>
      </c>
      <c r="O13" s="312">
        <v>6.9632</v>
      </c>
      <c r="P13" s="264">
        <v>7.2896</v>
      </c>
      <c r="Q13" s="264">
        <v>7.2624</v>
      </c>
      <c r="R13" s="264">
        <v>7.5344</v>
      </c>
      <c r="S13" s="264">
        <v>7.8608</v>
      </c>
      <c r="T13" s="264">
        <v>7.9152</v>
      </c>
      <c r="U13" s="264">
        <v>8.024</v>
      </c>
      <c r="V13" s="264">
        <v>8.296</v>
      </c>
      <c r="W13" s="264">
        <v>8.568</v>
      </c>
      <c r="X13" s="264">
        <v>8.9488</v>
      </c>
      <c r="Y13" s="264">
        <v>8.4592</v>
      </c>
      <c r="Z13" s="264">
        <v>8.3776</v>
      </c>
      <c r="AA13" s="264">
        <v>8.1056</v>
      </c>
      <c r="AB13" s="264">
        <v>8.1328</v>
      </c>
      <c r="AC13" s="264">
        <v>10.2</v>
      </c>
      <c r="AD13" s="264">
        <f>0.396*27.2</f>
        <v>10.7712</v>
      </c>
      <c r="AE13" s="407">
        <f>0.437*27.2</f>
        <v>11.8864</v>
      </c>
      <c r="AF13" s="241">
        <f t="shared" si="1"/>
        <v>10.353535353535364</v>
      </c>
      <c r="AG13" s="221" t="s">
        <v>33</v>
      </c>
    </row>
    <row r="14" spans="1:33" ht="12.75" customHeight="1">
      <c r="A14" s="214"/>
      <c r="B14" s="225" t="s">
        <v>26</v>
      </c>
      <c r="C14" s="239">
        <v>9.425</v>
      </c>
      <c r="D14" s="239">
        <v>15.621</v>
      </c>
      <c r="E14" s="227">
        <v>17.718</v>
      </c>
      <c r="F14" s="227">
        <v>17.968</v>
      </c>
      <c r="G14" s="227">
        <v>18.549</v>
      </c>
      <c r="H14" s="227">
        <v>18.922</v>
      </c>
      <c r="I14" s="227">
        <v>19.578</v>
      </c>
      <c r="J14" s="227">
        <v>20.221</v>
      </c>
      <c r="K14" s="227">
        <v>20.449</v>
      </c>
      <c r="L14" s="227">
        <v>20.695</v>
      </c>
      <c r="M14" s="227">
        <v>21.2</v>
      </c>
      <c r="N14" s="227">
        <v>21.5</v>
      </c>
      <c r="O14" s="227">
        <v>21.7</v>
      </c>
      <c r="P14" s="237">
        <v>21.8</v>
      </c>
      <c r="Q14" s="237">
        <v>22</v>
      </c>
      <c r="R14" s="237">
        <v>21.95</v>
      </c>
      <c r="S14" s="237">
        <v>21.6</v>
      </c>
      <c r="T14" s="237">
        <v>21.7</v>
      </c>
      <c r="U14" s="237">
        <v>21.8</v>
      </c>
      <c r="V14" s="237">
        <v>22</v>
      </c>
      <c r="W14" s="237">
        <v>22.1</v>
      </c>
      <c r="X14" s="237">
        <v>20.919043007800454</v>
      </c>
      <c r="Y14" s="237">
        <v>21.1</v>
      </c>
      <c r="Z14" s="237">
        <v>21.161722909489495</v>
      </c>
      <c r="AA14" s="237">
        <v>21.09610045397415</v>
      </c>
      <c r="AB14" s="237">
        <v>21.028128543117838</v>
      </c>
      <c r="AC14" s="237">
        <v>21.006120944621784</v>
      </c>
      <c r="AD14" s="237">
        <v>21.148271968974477</v>
      </c>
      <c r="AE14" s="394">
        <v>20.902716638696276</v>
      </c>
      <c r="AF14" s="236">
        <f t="shared" si="1"/>
        <v>-1.1611129771663684</v>
      </c>
      <c r="AG14" s="225" t="s">
        <v>26</v>
      </c>
    </row>
    <row r="15" spans="1:33" ht="12.75" customHeight="1">
      <c r="A15" s="214"/>
      <c r="B15" s="221" t="s">
        <v>31</v>
      </c>
      <c r="C15" s="266">
        <v>20.911</v>
      </c>
      <c r="D15" s="266">
        <v>28.099</v>
      </c>
      <c r="E15" s="263">
        <v>33.36</v>
      </c>
      <c r="F15" s="263">
        <v>35.45</v>
      </c>
      <c r="G15" s="263">
        <v>35.52</v>
      </c>
      <c r="H15" s="263">
        <v>37.09</v>
      </c>
      <c r="I15" s="263">
        <v>38.13</v>
      </c>
      <c r="J15" s="263">
        <v>39.6</v>
      </c>
      <c r="K15" s="264">
        <v>44</v>
      </c>
      <c r="L15" s="263">
        <v>43.97</v>
      </c>
      <c r="M15" s="263">
        <v>49.4</v>
      </c>
      <c r="N15" s="263">
        <v>50</v>
      </c>
      <c r="O15" s="263">
        <v>50.278</v>
      </c>
      <c r="P15" s="263">
        <v>51.712</v>
      </c>
      <c r="Q15" s="263">
        <v>50.053</v>
      </c>
      <c r="R15" s="263">
        <v>49.209</v>
      </c>
      <c r="S15" s="263">
        <v>53.458</v>
      </c>
      <c r="T15" s="263">
        <v>53.176</v>
      </c>
      <c r="U15" s="263">
        <v>49.369</v>
      </c>
      <c r="V15" s="263">
        <v>59.163</v>
      </c>
      <c r="W15" s="263">
        <v>60.864</v>
      </c>
      <c r="X15" s="263">
        <v>57.043</v>
      </c>
      <c r="Y15" s="263">
        <v>50.902</v>
      </c>
      <c r="Z15" s="263">
        <v>55.742</v>
      </c>
      <c r="AA15" s="263">
        <v>54.531</v>
      </c>
      <c r="AB15" s="263">
        <v>53.836</v>
      </c>
      <c r="AC15" s="393">
        <v>39.469</v>
      </c>
      <c r="AD15" s="263">
        <v>46.389</v>
      </c>
      <c r="AE15" s="406">
        <v>47.763</v>
      </c>
      <c r="AF15" s="262">
        <f t="shared" si="1"/>
        <v>2.96190907327167</v>
      </c>
      <c r="AG15" s="221" t="s">
        <v>31</v>
      </c>
    </row>
    <row r="16" spans="1:33" ht="12.75" customHeight="1">
      <c r="A16" s="214"/>
      <c r="B16" s="225" t="s">
        <v>32</v>
      </c>
      <c r="C16" s="239">
        <v>25.2</v>
      </c>
      <c r="D16" s="239">
        <v>38</v>
      </c>
      <c r="E16" s="227">
        <v>52.25974260388607</v>
      </c>
      <c r="F16" s="227">
        <v>54.120923065039335</v>
      </c>
      <c r="G16" s="227">
        <v>53.16586463106571</v>
      </c>
      <c r="H16" s="227">
        <v>53.48103734304247</v>
      </c>
      <c r="I16" s="227">
        <v>54.21079519277558</v>
      </c>
      <c r="J16" s="227">
        <v>53.18936072092363</v>
      </c>
      <c r="K16" s="227">
        <v>54.37349676481762</v>
      </c>
      <c r="L16" s="227">
        <v>55.39005647013747</v>
      </c>
      <c r="M16" s="227">
        <v>55.36184905414865</v>
      </c>
      <c r="N16" s="227">
        <v>54.52585914209821</v>
      </c>
      <c r="O16" s="259">
        <v>55.77588072874809</v>
      </c>
      <c r="P16" s="227">
        <v>54.330983789104856</v>
      </c>
      <c r="Q16" s="227">
        <v>54.906423532000495</v>
      </c>
      <c r="R16" s="227">
        <v>55.430434346171054</v>
      </c>
      <c r="S16" s="227">
        <v>56.32957465552941</v>
      </c>
      <c r="T16" s="227">
        <v>56.465931808729366</v>
      </c>
      <c r="U16" s="227">
        <v>58.935960144382506</v>
      </c>
      <c r="V16" s="227">
        <v>61.35688303940152</v>
      </c>
      <c r="W16" s="227">
        <v>63.76805541635552</v>
      </c>
      <c r="X16" s="227">
        <v>65.21068805891561</v>
      </c>
      <c r="Y16" s="227">
        <v>68.69356959477642</v>
      </c>
      <c r="Z16" s="227">
        <v>71.67398784800939</v>
      </c>
      <c r="AA16" s="227">
        <v>74.3953497964768</v>
      </c>
      <c r="AB16" s="227">
        <v>75.85419147485968</v>
      </c>
      <c r="AC16" s="227">
        <v>77.16466927266292</v>
      </c>
      <c r="AD16" s="227">
        <v>78.67978629826871</v>
      </c>
      <c r="AE16" s="408">
        <v>81.06523949073163</v>
      </c>
      <c r="AF16" s="248">
        <f t="shared" si="1"/>
        <v>3.031850116394395</v>
      </c>
      <c r="AG16" s="225" t="s">
        <v>32</v>
      </c>
    </row>
    <row r="17" spans="1:33" ht="16.5" customHeight="1">
      <c r="A17" s="214"/>
      <c r="B17" s="221" t="s">
        <v>44</v>
      </c>
      <c r="C17" s="224">
        <v>3.3</v>
      </c>
      <c r="D17" s="224">
        <v>7.1</v>
      </c>
      <c r="E17" s="223">
        <v>7</v>
      </c>
      <c r="F17" s="223" t="s">
        <v>41</v>
      </c>
      <c r="G17" s="223" t="s">
        <v>41</v>
      </c>
      <c r="H17" s="223" t="s">
        <v>41</v>
      </c>
      <c r="I17" s="223" t="s">
        <v>41</v>
      </c>
      <c r="J17" s="223">
        <v>4.051915</v>
      </c>
      <c r="K17" s="223">
        <v>4.266118</v>
      </c>
      <c r="L17" s="223">
        <v>4.459067</v>
      </c>
      <c r="M17" s="223">
        <v>3.963847</v>
      </c>
      <c r="N17" s="223">
        <v>3.354983</v>
      </c>
      <c r="O17" s="223">
        <v>3.331147</v>
      </c>
      <c r="P17" s="223">
        <v>3.477757</v>
      </c>
      <c r="Q17" s="223">
        <v>3.557693</v>
      </c>
      <c r="R17" s="223">
        <v>3.71685</v>
      </c>
      <c r="S17" s="223">
        <v>3.390253</v>
      </c>
      <c r="T17" s="223">
        <v>3.403469</v>
      </c>
      <c r="U17" s="223">
        <v>3.537056</v>
      </c>
      <c r="V17" s="223">
        <v>3.80798</v>
      </c>
      <c r="W17" s="223">
        <v>4.093489</v>
      </c>
      <c r="X17" s="223">
        <v>3.437996</v>
      </c>
      <c r="Y17" s="223">
        <v>3.248418</v>
      </c>
      <c r="Z17" s="223">
        <v>3.145021</v>
      </c>
      <c r="AA17" s="223">
        <v>3.249078</v>
      </c>
      <c r="AB17" s="223">
        <v>3.507</v>
      </c>
      <c r="AC17" s="223">
        <v>3.648</v>
      </c>
      <c r="AD17" s="223">
        <v>3.377</v>
      </c>
      <c r="AE17" s="325">
        <v>3.802</v>
      </c>
      <c r="AF17" s="222">
        <f t="shared" si="1"/>
        <v>12.585134734971874</v>
      </c>
      <c r="AG17" s="221" t="s">
        <v>44</v>
      </c>
    </row>
    <row r="18" spans="1:33" ht="12.75" customHeight="1">
      <c r="A18" s="214"/>
      <c r="B18" s="225" t="s">
        <v>34</v>
      </c>
      <c r="C18" s="239">
        <v>32.004</v>
      </c>
      <c r="D18" s="239">
        <v>57.836</v>
      </c>
      <c r="E18" s="227">
        <v>83.955</v>
      </c>
      <c r="F18" s="227">
        <v>84.69</v>
      </c>
      <c r="G18" s="227">
        <v>84.7</v>
      </c>
      <c r="H18" s="227">
        <v>81.45</v>
      </c>
      <c r="I18" s="227">
        <v>79.28</v>
      </c>
      <c r="J18" s="227">
        <f>76.797+10.35</f>
        <v>87.14699999999999</v>
      </c>
      <c r="K18" s="227">
        <v>88.736</v>
      </c>
      <c r="L18" s="227">
        <v>90</v>
      </c>
      <c r="M18" s="227">
        <v>90.6</v>
      </c>
      <c r="N18" s="227">
        <v>92.153</v>
      </c>
      <c r="O18" s="227">
        <f>82.263+11.158</f>
        <v>93.421</v>
      </c>
      <c r="P18" s="227">
        <v>95.594</v>
      </c>
      <c r="Q18" s="227">
        <f>85.512+11.634</f>
        <v>97.146</v>
      </c>
      <c r="R18" s="227">
        <f>86.816+11.503</f>
        <v>98.319</v>
      </c>
      <c r="S18" s="227">
        <f>88.196+11.564</f>
        <v>99.75999999999999</v>
      </c>
      <c r="T18" s="227">
        <f>89.329+11.625</f>
        <v>100.954</v>
      </c>
      <c r="U18" s="227">
        <f>91.442+11.607</f>
        <v>103.04899999999999</v>
      </c>
      <c r="V18" s="227">
        <f>91.108+11.549</f>
        <v>102.65700000000001</v>
      </c>
      <c r="W18" s="227">
        <f>90.693+11.745</f>
        <v>102.438</v>
      </c>
      <c r="X18" s="227">
        <f>89.797+11.909</f>
        <v>101.706</v>
      </c>
      <c r="Y18" s="227">
        <f>90.134+12.085</f>
        <v>102.219</v>
      </c>
      <c r="Z18" s="227">
        <f>90.907+11.537</f>
        <v>102.444</v>
      </c>
      <c r="AA18" s="227">
        <f>90.542+10.97</f>
        <v>101.512</v>
      </c>
      <c r="AB18" s="227">
        <f>90.748+11.022</f>
        <v>101.77000000000001</v>
      </c>
      <c r="AC18" s="227">
        <f>91.61+11.196</f>
        <v>102.806</v>
      </c>
      <c r="AD18" s="227">
        <f>91.641+10.964</f>
        <v>102.605</v>
      </c>
      <c r="AE18" s="410">
        <f>91.802+11.22</f>
        <v>103.022</v>
      </c>
      <c r="AF18" s="248">
        <f t="shared" si="1"/>
        <v>0.4064129428390544</v>
      </c>
      <c r="AG18" s="225" t="s">
        <v>34</v>
      </c>
    </row>
    <row r="19" spans="1:33" ht="12.75" customHeight="1">
      <c r="A19" s="214"/>
      <c r="B19" s="221" t="s">
        <v>13</v>
      </c>
      <c r="C19" s="224" t="s">
        <v>41</v>
      </c>
      <c r="D19" s="224" t="s">
        <v>41</v>
      </c>
      <c r="E19" s="223" t="s">
        <v>41</v>
      </c>
      <c r="F19" s="223" t="s">
        <v>41</v>
      </c>
      <c r="G19" s="223" t="s">
        <v>41</v>
      </c>
      <c r="H19" s="223" t="s">
        <v>41</v>
      </c>
      <c r="I19" s="223" t="s">
        <v>41</v>
      </c>
      <c r="J19" s="242">
        <v>1</v>
      </c>
      <c r="K19" s="242">
        <v>1.04</v>
      </c>
      <c r="L19" s="242">
        <v>1.05</v>
      </c>
      <c r="M19" s="242">
        <v>1.06</v>
      </c>
      <c r="N19" s="242">
        <v>1.08</v>
      </c>
      <c r="O19" s="242">
        <v>1.12</v>
      </c>
      <c r="P19" s="242">
        <v>1.16</v>
      </c>
      <c r="Q19" s="242">
        <v>1.2</v>
      </c>
      <c r="R19" s="242">
        <v>1.28</v>
      </c>
      <c r="S19" s="242">
        <v>1.24</v>
      </c>
      <c r="T19" s="242">
        <v>1.26</v>
      </c>
      <c r="U19" s="242">
        <v>1.28</v>
      </c>
      <c r="V19" s="242">
        <v>1.3</v>
      </c>
      <c r="W19" s="242">
        <v>1.33</v>
      </c>
      <c r="X19" s="242">
        <v>1.2832081221716343</v>
      </c>
      <c r="Y19" s="242">
        <v>1.29</v>
      </c>
      <c r="Z19" s="242">
        <v>1.325042573063031</v>
      </c>
      <c r="AA19" s="242">
        <v>1.3655790761715423</v>
      </c>
      <c r="AB19" s="242">
        <v>1.3463918995498854</v>
      </c>
      <c r="AC19" s="242">
        <v>1.3463918995498854</v>
      </c>
      <c r="AD19" s="242">
        <v>1.426717257084444</v>
      </c>
      <c r="AE19" s="411">
        <v>1.4810954569636534</v>
      </c>
      <c r="AF19" s="241">
        <f t="shared" si="1"/>
        <v>3.811420911129474</v>
      </c>
      <c r="AG19" s="221" t="s">
        <v>13</v>
      </c>
    </row>
    <row r="20" spans="1:33" s="235" customFormat="1" ht="12.75" customHeight="1">
      <c r="A20" s="240"/>
      <c r="B20" s="225" t="s">
        <v>17</v>
      </c>
      <c r="C20" s="239">
        <v>3.28</v>
      </c>
      <c r="D20" s="239">
        <v>4.55</v>
      </c>
      <c r="E20" s="227">
        <v>5.862</v>
      </c>
      <c r="F20" s="260">
        <v>5.331</v>
      </c>
      <c r="G20" s="227">
        <v>2.583</v>
      </c>
      <c r="H20" s="227">
        <v>1.722</v>
      </c>
      <c r="I20" s="227">
        <v>1.795</v>
      </c>
      <c r="J20" s="227">
        <v>1.835</v>
      </c>
      <c r="K20" s="227">
        <v>1.606</v>
      </c>
      <c r="L20" s="227">
        <v>1.72</v>
      </c>
      <c r="M20" s="227">
        <v>1.903</v>
      </c>
      <c r="N20" s="227">
        <v>2.368</v>
      </c>
      <c r="O20" s="227">
        <v>2.348</v>
      </c>
      <c r="P20" s="227">
        <v>2.305</v>
      </c>
      <c r="Q20" s="227">
        <v>2.361</v>
      </c>
      <c r="R20" s="227">
        <v>2.55</v>
      </c>
      <c r="S20" s="227">
        <v>2.655</v>
      </c>
      <c r="T20" s="227">
        <v>2.891</v>
      </c>
      <c r="U20" s="227">
        <v>2.78</v>
      </c>
      <c r="V20" s="227">
        <v>2.644</v>
      </c>
      <c r="W20" s="227">
        <v>2.517</v>
      </c>
      <c r="X20" s="227">
        <v>2.143</v>
      </c>
      <c r="Y20" s="227">
        <v>2.311</v>
      </c>
      <c r="Z20" s="227">
        <v>2.412</v>
      </c>
      <c r="AA20" s="227">
        <v>2.358</v>
      </c>
      <c r="AB20" s="227">
        <v>2.325</v>
      </c>
      <c r="AC20" s="227">
        <v>2.345</v>
      </c>
      <c r="AD20" s="227">
        <v>2.232</v>
      </c>
      <c r="AE20" s="410">
        <v>2.187</v>
      </c>
      <c r="AF20" s="248">
        <f t="shared" si="1"/>
        <v>-2.0161290322580783</v>
      </c>
      <c r="AG20" s="225" t="s">
        <v>17</v>
      </c>
    </row>
    <row r="21" spans="1:33" ht="12.75" customHeight="1">
      <c r="A21" s="214"/>
      <c r="B21" s="221" t="s">
        <v>18</v>
      </c>
      <c r="C21" s="224" t="s">
        <v>41</v>
      </c>
      <c r="D21" s="224" t="s">
        <v>41</v>
      </c>
      <c r="E21" s="223">
        <v>7.889</v>
      </c>
      <c r="F21" s="223">
        <v>7.798</v>
      </c>
      <c r="G21" s="223">
        <v>6.392</v>
      </c>
      <c r="H21" s="223">
        <v>4.522</v>
      </c>
      <c r="I21" s="223">
        <v>4.627</v>
      </c>
      <c r="J21" s="223">
        <f>3.334+0.835</f>
        <v>4.1690000000000005</v>
      </c>
      <c r="K21" s="223">
        <f>2.879+0.722</f>
        <v>3.601</v>
      </c>
      <c r="L21" s="223">
        <f>2.603+0.588</f>
        <v>3.1910000000000003</v>
      </c>
      <c r="M21" s="223">
        <f>2.39+0.574</f>
        <v>2.964</v>
      </c>
      <c r="N21" s="223">
        <f>2.096+0.569</f>
        <v>2.665</v>
      </c>
      <c r="O21" s="223">
        <f>2.266+0.489</f>
        <v>2.755</v>
      </c>
      <c r="P21" s="223">
        <v>2.833</v>
      </c>
      <c r="Q21" s="223">
        <f>2.508+0.505</f>
        <v>3.013</v>
      </c>
      <c r="R21" s="223">
        <f>2.583+0.404</f>
        <v>2.987</v>
      </c>
      <c r="S21" s="223">
        <f>3.14+0.409</f>
        <v>3.549</v>
      </c>
      <c r="T21" s="223">
        <f>3.267+0.424</f>
        <v>3.691</v>
      </c>
      <c r="U21" s="223">
        <f>3.283+0.413</f>
        <v>3.6959999999999997</v>
      </c>
      <c r="V21" s="223">
        <f>3.1703+0.4498</f>
        <v>3.6201</v>
      </c>
      <c r="W21" s="223">
        <f>2.9521+0.4691</f>
        <v>3.4212000000000002</v>
      </c>
      <c r="X21" s="223">
        <v>2.7746999999999997</v>
      </c>
      <c r="Y21" s="223">
        <f>2.3479+0.3457</f>
        <v>2.6936</v>
      </c>
      <c r="Z21" s="223">
        <v>2.748</v>
      </c>
      <c r="AA21" s="223">
        <f>2.387+0.348</f>
        <v>2.735</v>
      </c>
      <c r="AB21" s="223">
        <f>2.521+0.326</f>
        <v>2.847</v>
      </c>
      <c r="AC21" s="223">
        <v>2.9733</v>
      </c>
      <c r="AD21" s="223">
        <v>2.745543</v>
      </c>
      <c r="AE21" s="325">
        <v>2.6313</v>
      </c>
      <c r="AF21" s="222">
        <f t="shared" si="1"/>
        <v>-4.161034811692986</v>
      </c>
      <c r="AG21" s="221" t="s">
        <v>18</v>
      </c>
    </row>
    <row r="22" spans="1:33" s="235" customFormat="1" ht="12.75" customHeight="1">
      <c r="A22" s="240"/>
      <c r="B22" s="225" t="s">
        <v>35</v>
      </c>
      <c r="C22" s="256">
        <v>0.4</v>
      </c>
      <c r="D22" s="256">
        <v>0.44</v>
      </c>
      <c r="E22" s="237">
        <v>0.48</v>
      </c>
      <c r="F22" s="237">
        <v>0.49</v>
      </c>
      <c r="G22" s="237">
        <v>0.51</v>
      </c>
      <c r="H22" s="237">
        <v>0.52</v>
      </c>
      <c r="I22" s="237">
        <v>0.53</v>
      </c>
      <c r="J22" s="237">
        <v>0.54</v>
      </c>
      <c r="K22" s="237">
        <v>0.55</v>
      </c>
      <c r="L22" s="237">
        <v>0.56</v>
      </c>
      <c r="M22" s="237">
        <v>0.57</v>
      </c>
      <c r="N22" s="237">
        <v>0.58</v>
      </c>
      <c r="O22" s="237">
        <v>0.62</v>
      </c>
      <c r="P22" s="237">
        <v>0.66</v>
      </c>
      <c r="Q22" s="237">
        <v>0.72</v>
      </c>
      <c r="R22" s="237">
        <v>0.74</v>
      </c>
      <c r="S22" s="237">
        <v>0.77</v>
      </c>
      <c r="T22" s="237">
        <v>0.8</v>
      </c>
      <c r="U22" s="237">
        <v>0.82</v>
      </c>
      <c r="V22" s="237">
        <v>0.86</v>
      </c>
      <c r="W22" s="237">
        <v>0.91</v>
      </c>
      <c r="X22" s="237">
        <v>0.905872688234131</v>
      </c>
      <c r="Y22" s="237">
        <v>0.94</v>
      </c>
      <c r="Z22" s="237">
        <v>0.9876300463226344</v>
      </c>
      <c r="AA22" s="237">
        <v>1.0049122484837048</v>
      </c>
      <c r="AB22" s="237">
        <v>1.026458894764151</v>
      </c>
      <c r="AC22" s="237">
        <v>1.037546284758761</v>
      </c>
      <c r="AD22" s="237">
        <v>1.0928294004495056</v>
      </c>
      <c r="AE22" s="394">
        <v>1.1099876780311415</v>
      </c>
      <c r="AF22" s="236">
        <f t="shared" si="1"/>
        <v>1.5700783282896964</v>
      </c>
      <c r="AG22" s="225" t="s">
        <v>35</v>
      </c>
    </row>
    <row r="23" spans="1:33" ht="12.75" customHeight="1">
      <c r="A23" s="214"/>
      <c r="B23" s="221" t="s">
        <v>16</v>
      </c>
      <c r="C23" s="224" t="s">
        <v>41</v>
      </c>
      <c r="D23" s="224" t="s">
        <v>41</v>
      </c>
      <c r="E23" s="223">
        <v>19.261</v>
      </c>
      <c r="F23" s="223">
        <v>17.332</v>
      </c>
      <c r="G23" s="223">
        <v>15.971</v>
      </c>
      <c r="H23" s="223">
        <v>15.8</v>
      </c>
      <c r="I23" s="223">
        <v>16.392</v>
      </c>
      <c r="J23" s="223">
        <v>16.605</v>
      </c>
      <c r="K23" s="223">
        <v>16.564</v>
      </c>
      <c r="L23" s="223">
        <v>16.632</v>
      </c>
      <c r="M23" s="223">
        <v>17.172</v>
      </c>
      <c r="N23" s="223">
        <v>17.796</v>
      </c>
      <c r="O23" s="223">
        <v>18.732</v>
      </c>
      <c r="P23" s="223">
        <v>18.617</v>
      </c>
      <c r="Q23" s="223">
        <v>18.898</v>
      </c>
      <c r="R23" s="223">
        <v>18.707</v>
      </c>
      <c r="S23" s="223">
        <f>11.612+6.312+0.299</f>
        <v>18.223</v>
      </c>
      <c r="T23" s="223">
        <f>11.53+6.029+0.286</f>
        <v>17.845</v>
      </c>
      <c r="U23" s="223">
        <f>11.784+5.863+0.283</f>
        <v>17.930000000000003</v>
      </c>
      <c r="V23" s="223">
        <f>11.254+5.613+0.278</f>
        <v>17.145</v>
      </c>
      <c r="W23" s="223">
        <f>11.862+5.515+0.277</f>
        <v>17.654</v>
      </c>
      <c r="X23" s="223">
        <f>11.321+4.759+0.21</f>
        <v>16.29</v>
      </c>
      <c r="Y23" s="223">
        <f>11.776+4.484+0.201</f>
        <v>16.461</v>
      </c>
      <c r="Z23" s="223">
        <f>11.852+0.197+4.4067046</f>
        <v>16.4557046</v>
      </c>
      <c r="AA23" s="223">
        <f>12.553+4.3348054+0.186545</f>
        <v>17.0743504</v>
      </c>
      <c r="AB23" s="223">
        <f>12.606+4.358511+0.1853244</f>
        <v>17.1498354</v>
      </c>
      <c r="AC23" s="223">
        <f>12.987+4.4538901+0.1891748</f>
        <v>17.6300649</v>
      </c>
      <c r="AD23" s="223">
        <f>4.4906711+0.1925054+13.13</f>
        <v>17.8131765</v>
      </c>
      <c r="AE23" s="325">
        <f>13.237+4.3883955+0.196538</f>
        <v>17.8219335</v>
      </c>
      <c r="AF23" s="222">
        <f t="shared" si="1"/>
        <v>0.049160238209040585</v>
      </c>
      <c r="AG23" s="221" t="s">
        <v>16</v>
      </c>
    </row>
    <row r="24" spans="1:33" s="235" customFormat="1" ht="12.75" customHeight="1">
      <c r="A24" s="311"/>
      <c r="B24" s="225" t="s">
        <v>19</v>
      </c>
      <c r="C24" s="239" t="s">
        <v>41</v>
      </c>
      <c r="D24" s="239" t="s">
        <v>41</v>
      </c>
      <c r="E24" s="227" t="s">
        <v>41</v>
      </c>
      <c r="F24" s="227" t="s">
        <v>41</v>
      </c>
      <c r="G24" s="227" t="s">
        <v>41</v>
      </c>
      <c r="H24" s="227" t="s">
        <v>41</v>
      </c>
      <c r="I24" s="227" t="s">
        <v>41</v>
      </c>
      <c r="J24" s="237">
        <v>0.41</v>
      </c>
      <c r="K24" s="237">
        <v>0.42</v>
      </c>
      <c r="L24" s="237">
        <v>0.44</v>
      </c>
      <c r="M24" s="237">
        <v>0.45</v>
      </c>
      <c r="N24" s="237">
        <v>0.455</v>
      </c>
      <c r="O24" s="237">
        <v>0.46</v>
      </c>
      <c r="P24" s="237">
        <v>0.47</v>
      </c>
      <c r="Q24" s="237">
        <v>0.48</v>
      </c>
      <c r="R24" s="237">
        <v>0.49</v>
      </c>
      <c r="S24" s="237">
        <v>0.5</v>
      </c>
      <c r="T24" s="237">
        <v>0.49</v>
      </c>
      <c r="U24" s="237">
        <v>0.5</v>
      </c>
      <c r="V24" s="237">
        <v>0.505</v>
      </c>
      <c r="W24" s="237">
        <v>0.51</v>
      </c>
      <c r="X24" s="237">
        <v>0.4848885722388764</v>
      </c>
      <c r="Y24" s="237">
        <v>0.5</v>
      </c>
      <c r="Z24" s="237">
        <v>0.47567815316050804</v>
      </c>
      <c r="AA24" s="237">
        <v>0.4764518954048124</v>
      </c>
      <c r="AB24" s="237">
        <v>0.46847402439797603</v>
      </c>
      <c r="AC24" s="237">
        <v>0.49155426958825765</v>
      </c>
      <c r="AD24" s="237">
        <v>0.539906461587028</v>
      </c>
      <c r="AE24" s="394">
        <v>0.54606337304779</v>
      </c>
      <c r="AF24" s="236">
        <f t="shared" si="1"/>
        <v>1.140366322467031</v>
      </c>
      <c r="AG24" s="225" t="s">
        <v>19</v>
      </c>
    </row>
    <row r="25" spans="1:33" ht="12.75" customHeight="1">
      <c r="A25" s="214"/>
      <c r="B25" s="221" t="s">
        <v>27</v>
      </c>
      <c r="C25" s="224">
        <v>9.5</v>
      </c>
      <c r="D25" s="251">
        <v>11.2</v>
      </c>
      <c r="E25" s="223">
        <v>13</v>
      </c>
      <c r="F25" s="243">
        <v>12.3</v>
      </c>
      <c r="G25" s="243">
        <v>13.2</v>
      </c>
      <c r="H25" s="243">
        <v>13.05</v>
      </c>
      <c r="I25" s="243">
        <v>12.15</v>
      </c>
      <c r="J25" s="243">
        <v>12</v>
      </c>
      <c r="K25" s="243">
        <v>11.85</v>
      </c>
      <c r="L25" s="243">
        <v>12</v>
      </c>
      <c r="M25" s="243">
        <v>11.7</v>
      </c>
      <c r="N25" s="243">
        <v>11.25</v>
      </c>
      <c r="O25" s="417">
        <v>4.617277399572086</v>
      </c>
      <c r="P25" s="242">
        <v>4.672245187115668</v>
      </c>
      <c r="Q25" s="243">
        <v>4.4114885322856</v>
      </c>
      <c r="R25" s="243">
        <v>4.599831164782615</v>
      </c>
      <c r="S25" s="243">
        <v>4.700190619040386</v>
      </c>
      <c r="T25" s="242">
        <v>4.775028046812017</v>
      </c>
      <c r="U25" s="242">
        <v>4.860911858498458</v>
      </c>
      <c r="V25" s="242">
        <v>4.961403033817193</v>
      </c>
      <c r="W25" s="242">
        <v>5.048543181837985</v>
      </c>
      <c r="X25" s="242">
        <v>4.853947506228394</v>
      </c>
      <c r="Y25" s="418">
        <v>4.846074938770187</v>
      </c>
      <c r="Z25" s="242">
        <v>5.010096540903104</v>
      </c>
      <c r="AA25" s="242">
        <v>4.483869529722649</v>
      </c>
      <c r="AB25" s="242">
        <v>4.6464404346162365</v>
      </c>
      <c r="AC25" s="242">
        <v>4.546757462094314</v>
      </c>
      <c r="AD25" s="242">
        <v>4.883554311138337</v>
      </c>
      <c r="AE25" s="411">
        <v>4.974573256196851</v>
      </c>
      <c r="AF25" s="241">
        <f t="shared" si="1"/>
        <v>1.86378484316063</v>
      </c>
      <c r="AG25" s="221" t="s">
        <v>27</v>
      </c>
    </row>
    <row r="26" spans="1:33" s="235" customFormat="1" ht="12.75" customHeight="1">
      <c r="A26" s="240"/>
      <c r="B26" s="225" t="s">
        <v>36</v>
      </c>
      <c r="C26" s="239">
        <v>9.1</v>
      </c>
      <c r="D26" s="239">
        <v>9.8</v>
      </c>
      <c r="E26" s="237">
        <v>8.192984741832733</v>
      </c>
      <c r="F26" s="237">
        <v>8.170867841982773</v>
      </c>
      <c r="G26" s="237">
        <v>8.338078415562842</v>
      </c>
      <c r="H26" s="237">
        <v>8.577886975268642</v>
      </c>
      <c r="I26" s="237">
        <v>8.736271342619089</v>
      </c>
      <c r="J26" s="237">
        <v>8.971114336525325</v>
      </c>
      <c r="K26" s="237">
        <v>8.993439770994408</v>
      </c>
      <c r="L26" s="237">
        <v>9.071136073440593</v>
      </c>
      <c r="M26" s="237">
        <v>9.240753404456093</v>
      </c>
      <c r="N26" s="237">
        <v>9.251280045109212</v>
      </c>
      <c r="O26" s="237">
        <v>9.537900259105012</v>
      </c>
      <c r="P26" s="237">
        <v>9.493597151560785</v>
      </c>
      <c r="Q26" s="237">
        <v>9.606299966538835</v>
      </c>
      <c r="R26" s="237">
        <v>9.782600905796183</v>
      </c>
      <c r="S26" s="237">
        <v>9.909870909328074</v>
      </c>
      <c r="T26" s="237">
        <v>9.658124709230014</v>
      </c>
      <c r="U26" s="237">
        <v>9.563670932805143</v>
      </c>
      <c r="V26" s="237">
        <v>10.139828761267628</v>
      </c>
      <c r="W26" s="237">
        <v>9.904487885450676</v>
      </c>
      <c r="X26" s="237">
        <v>9.183516929671056</v>
      </c>
      <c r="Y26" s="237">
        <v>9.951612714295887</v>
      </c>
      <c r="Z26" s="237">
        <v>9.90355966348199</v>
      </c>
      <c r="AA26" s="237">
        <v>9.868701515196832</v>
      </c>
      <c r="AB26" s="237">
        <v>9.896578185510519</v>
      </c>
      <c r="AC26" s="237">
        <v>10.136862897278643</v>
      </c>
      <c r="AD26" s="237">
        <v>10.2954148601556</v>
      </c>
      <c r="AE26" s="394">
        <v>10.6054771848763</v>
      </c>
      <c r="AF26" s="248">
        <f t="shared" si="1"/>
        <v>3.0116544979714774</v>
      </c>
      <c r="AG26" s="225" t="s">
        <v>36</v>
      </c>
    </row>
    <row r="27" spans="1:33" ht="12.75" customHeight="1">
      <c r="A27" s="214"/>
      <c r="B27" s="221" t="s">
        <v>20</v>
      </c>
      <c r="C27" s="224">
        <v>29.14</v>
      </c>
      <c r="D27" s="224">
        <v>49.223</v>
      </c>
      <c r="E27" s="223">
        <v>46.3</v>
      </c>
      <c r="F27" s="223">
        <v>41.72</v>
      </c>
      <c r="G27" s="223">
        <v>39.008</v>
      </c>
      <c r="H27" s="223">
        <v>37.811</v>
      </c>
      <c r="I27" s="223">
        <v>34.262</v>
      </c>
      <c r="J27" s="223">
        <v>34.024</v>
      </c>
      <c r="K27" s="223">
        <v>33.984</v>
      </c>
      <c r="L27" s="223">
        <v>33.128</v>
      </c>
      <c r="M27" s="223">
        <v>34.035</v>
      </c>
      <c r="N27" s="223">
        <v>33.25</v>
      </c>
      <c r="O27" s="250">
        <v>59.2</v>
      </c>
      <c r="P27" s="223">
        <v>55.4</v>
      </c>
      <c r="Q27" s="223">
        <v>52</v>
      </c>
      <c r="R27" s="223">
        <v>51.6</v>
      </c>
      <c r="S27" s="223">
        <v>51.1</v>
      </c>
      <c r="T27" s="223">
        <v>49.2</v>
      </c>
      <c r="U27" s="223">
        <v>48.7</v>
      </c>
      <c r="V27" s="223">
        <v>47.7</v>
      </c>
      <c r="W27" s="223">
        <v>47.7</v>
      </c>
      <c r="X27" s="223">
        <v>43.9</v>
      </c>
      <c r="Y27" s="223">
        <v>41.7</v>
      </c>
      <c r="Z27" s="223">
        <v>40.1</v>
      </c>
      <c r="AA27" s="223">
        <v>39.419</v>
      </c>
      <c r="AB27" s="223">
        <v>37.8</v>
      </c>
      <c r="AC27" s="223">
        <v>39.158</v>
      </c>
      <c r="AD27" s="223">
        <v>37.58</v>
      </c>
      <c r="AE27" s="325">
        <v>36.774</v>
      </c>
      <c r="AF27" s="222">
        <f t="shared" si="1"/>
        <v>-2.1447578499201683</v>
      </c>
      <c r="AG27" s="221" t="s">
        <v>20</v>
      </c>
    </row>
    <row r="28" spans="1:33" s="235" customFormat="1" ht="12.75" customHeight="1">
      <c r="A28" s="240"/>
      <c r="B28" s="225" t="s">
        <v>37</v>
      </c>
      <c r="C28" s="239">
        <v>4.358</v>
      </c>
      <c r="D28" s="239">
        <v>7.6</v>
      </c>
      <c r="E28" s="227">
        <v>10.3</v>
      </c>
      <c r="F28" s="227">
        <v>10.7</v>
      </c>
      <c r="G28" s="227">
        <v>11.4</v>
      </c>
      <c r="H28" s="227">
        <v>11.8</v>
      </c>
      <c r="I28" s="227">
        <v>12.55</v>
      </c>
      <c r="J28" s="227">
        <v>11.3</v>
      </c>
      <c r="K28" s="227">
        <v>11.1</v>
      </c>
      <c r="L28" s="227">
        <v>11.6</v>
      </c>
      <c r="M28" s="227">
        <v>11.55</v>
      </c>
      <c r="N28" s="227">
        <v>11.48</v>
      </c>
      <c r="O28" s="227">
        <v>11.821</v>
      </c>
      <c r="P28" s="227">
        <v>11.159</v>
      </c>
      <c r="Q28" s="227">
        <v>9.936</v>
      </c>
      <c r="R28" s="227">
        <v>10.537</v>
      </c>
      <c r="S28" s="227">
        <v>10.809</v>
      </c>
      <c r="T28" s="310">
        <v>6.376263166645883</v>
      </c>
      <c r="U28" s="237">
        <v>6.064343265791044</v>
      </c>
      <c r="V28" s="237">
        <v>6.248737903312966</v>
      </c>
      <c r="W28" s="237">
        <v>6.282629752577119</v>
      </c>
      <c r="X28" s="237">
        <v>6.000359984210191</v>
      </c>
      <c r="Y28" s="237">
        <v>6.077555342622833</v>
      </c>
      <c r="Z28" s="227">
        <v>5.85</v>
      </c>
      <c r="AA28" s="227">
        <v>5.85</v>
      </c>
      <c r="AB28" s="227">
        <v>6.023</v>
      </c>
      <c r="AC28" s="227">
        <v>5.657</v>
      </c>
      <c r="AD28" s="259">
        <v>5.847</v>
      </c>
      <c r="AE28" s="410">
        <v>6.756</v>
      </c>
      <c r="AF28" s="248">
        <f t="shared" si="1"/>
        <v>15.5464340687532</v>
      </c>
      <c r="AG28" s="225" t="s">
        <v>37</v>
      </c>
    </row>
    <row r="29" spans="1:33" ht="12.75" customHeight="1">
      <c r="A29" s="214"/>
      <c r="B29" s="221" t="s">
        <v>21</v>
      </c>
      <c r="C29" s="224">
        <v>7.858</v>
      </c>
      <c r="D29" s="224">
        <v>24.016</v>
      </c>
      <c r="E29" s="223">
        <v>24.007</v>
      </c>
      <c r="F29" s="223">
        <v>20.835</v>
      </c>
      <c r="G29" s="223">
        <v>25.649</v>
      </c>
      <c r="H29" s="258">
        <v>20.512</v>
      </c>
      <c r="I29" s="223">
        <v>14.058</v>
      </c>
      <c r="J29" s="223">
        <v>12.343</v>
      </c>
      <c r="K29" s="223">
        <v>12.842</v>
      </c>
      <c r="L29" s="223">
        <v>13.531</v>
      </c>
      <c r="M29" s="223">
        <v>8.962</v>
      </c>
      <c r="N29" s="223">
        <v>8.323</v>
      </c>
      <c r="O29" s="223">
        <v>7.7</v>
      </c>
      <c r="P29" s="223">
        <v>7.073</v>
      </c>
      <c r="Q29" s="223">
        <v>6.987</v>
      </c>
      <c r="R29" s="223">
        <v>9.455</v>
      </c>
      <c r="S29" s="223">
        <v>9.438</v>
      </c>
      <c r="T29" s="223">
        <v>11.811</v>
      </c>
      <c r="U29" s="223">
        <v>11.735</v>
      </c>
      <c r="V29" s="223">
        <v>12.156</v>
      </c>
      <c r="W29" s="250">
        <v>20.194</v>
      </c>
      <c r="X29" s="223">
        <v>17.108</v>
      </c>
      <c r="Y29" s="223">
        <v>15.812</v>
      </c>
      <c r="Z29" s="223">
        <v>15.529</v>
      </c>
      <c r="AA29" s="223">
        <v>16.901</v>
      </c>
      <c r="AB29" s="223">
        <v>17.082</v>
      </c>
      <c r="AC29" s="223">
        <v>18.339</v>
      </c>
      <c r="AD29" s="223">
        <v>17.471</v>
      </c>
      <c r="AE29" s="325">
        <v>18.744</v>
      </c>
      <c r="AF29" s="222">
        <f t="shared" si="1"/>
        <v>7.286360254135431</v>
      </c>
      <c r="AG29" s="221" t="s">
        <v>21</v>
      </c>
    </row>
    <row r="30" spans="1:33" s="235" customFormat="1" ht="12.75" customHeight="1">
      <c r="A30" s="240"/>
      <c r="B30" s="225" t="s">
        <v>23</v>
      </c>
      <c r="C30" s="239">
        <v>2.642</v>
      </c>
      <c r="D30" s="239">
        <v>4.925</v>
      </c>
      <c r="E30" s="227">
        <v>6.508</v>
      </c>
      <c r="F30" s="227">
        <v>5.554</v>
      </c>
      <c r="G30" s="227">
        <v>4.17</v>
      </c>
      <c r="H30" s="227">
        <v>3.894</v>
      </c>
      <c r="I30" s="227">
        <v>4.053</v>
      </c>
      <c r="J30" s="227">
        <v>4.113</v>
      </c>
      <c r="K30" s="227">
        <v>4.301</v>
      </c>
      <c r="L30" s="227">
        <v>4.379</v>
      </c>
      <c r="M30" s="227">
        <v>3.876</v>
      </c>
      <c r="N30" s="227">
        <v>4.138</v>
      </c>
      <c r="O30" s="227">
        <v>3.502</v>
      </c>
      <c r="P30" s="227">
        <v>3.393</v>
      </c>
      <c r="Q30" s="227">
        <v>3.339</v>
      </c>
      <c r="R30" s="227">
        <v>3.446</v>
      </c>
      <c r="S30" s="227">
        <v>3.218</v>
      </c>
      <c r="T30" s="227">
        <v>3.062</v>
      </c>
      <c r="U30" s="227">
        <v>3.133</v>
      </c>
      <c r="V30" s="227">
        <v>3.235</v>
      </c>
      <c r="W30" s="227">
        <v>3.146</v>
      </c>
      <c r="X30" s="227">
        <v>3.196</v>
      </c>
      <c r="Y30" s="227">
        <v>3.183</v>
      </c>
      <c r="Z30" s="237">
        <v>3.244143134443557</v>
      </c>
      <c r="AA30" s="237">
        <v>3.2370370249757103</v>
      </c>
      <c r="AB30" s="237">
        <v>3.3223001768851614</v>
      </c>
      <c r="AC30" s="237">
        <v>3.448992354015874</v>
      </c>
      <c r="AD30" s="237">
        <v>3.576082566075633</v>
      </c>
      <c r="AE30" s="394">
        <v>3.6071993994426763</v>
      </c>
      <c r="AF30" s="248">
        <f t="shared" si="1"/>
        <v>0.870137442077862</v>
      </c>
      <c r="AG30" s="225" t="s">
        <v>23</v>
      </c>
    </row>
    <row r="31" spans="1:33" ht="12.75" customHeight="1">
      <c r="A31" s="214"/>
      <c r="B31" s="221" t="s">
        <v>22</v>
      </c>
      <c r="C31" s="253"/>
      <c r="D31" s="253"/>
      <c r="E31" s="252"/>
      <c r="F31" s="223"/>
      <c r="G31" s="223"/>
      <c r="H31" s="223"/>
      <c r="I31" s="223"/>
      <c r="J31" s="223">
        <f>11.191+3.25</f>
        <v>14.441</v>
      </c>
      <c r="K31" s="223">
        <f>11.1+3.38</f>
        <v>14.48</v>
      </c>
      <c r="L31" s="223">
        <f>9.969+3.5</f>
        <v>13.469</v>
      </c>
      <c r="M31" s="223">
        <f>8.84+3.62</f>
        <v>12.46</v>
      </c>
      <c r="N31" s="223">
        <f>7.833+3.52</f>
        <v>11.353</v>
      </c>
      <c r="O31" s="242">
        <v>9.3174635</v>
      </c>
      <c r="P31" s="242">
        <v>9.24563722</v>
      </c>
      <c r="Q31" s="242">
        <v>9.24878837</v>
      </c>
      <c r="R31" s="242">
        <v>8.7739944</v>
      </c>
      <c r="S31" s="242">
        <v>8.84976323</v>
      </c>
      <c r="T31" s="242">
        <v>8.53778246</v>
      </c>
      <c r="U31" s="242">
        <v>8.683574</v>
      </c>
      <c r="V31" s="242">
        <v>8.652062</v>
      </c>
      <c r="W31" s="242">
        <v>7.4487156</v>
      </c>
      <c r="X31" s="242">
        <v>5.3743368</v>
      </c>
      <c r="Y31" s="242">
        <v>5.2707795</v>
      </c>
      <c r="Z31" s="242">
        <v>5.4770729099999995</v>
      </c>
      <c r="AA31" s="242">
        <v>5.432091430000001</v>
      </c>
      <c r="AB31" s="242">
        <f>4.388+((219.763+60.719)*3.1)/1000</f>
        <v>5.2574942</v>
      </c>
      <c r="AC31" s="242">
        <f>4.495+((230.887+62.017)*2.93)/1000</f>
        <v>5.3532087200000005</v>
      </c>
      <c r="AD31" s="242">
        <f>4.499+((234.226+60.225)*2.95)/1000</f>
        <v>5.36763045</v>
      </c>
      <c r="AE31" s="411">
        <f>4.996+((222.629+59.688)*3.17)/1000</f>
        <v>5.89094489</v>
      </c>
      <c r="AF31" s="241">
        <f t="shared" si="1"/>
        <v>9.749449871311455</v>
      </c>
      <c r="AG31" s="221" t="s">
        <v>22</v>
      </c>
    </row>
    <row r="32" spans="1:33" s="235" customFormat="1" ht="12.75" customHeight="1">
      <c r="A32" s="240"/>
      <c r="B32" s="225" t="s">
        <v>38</v>
      </c>
      <c r="C32" s="239">
        <v>7.5</v>
      </c>
      <c r="D32" s="239">
        <v>8.5</v>
      </c>
      <c r="E32" s="227">
        <v>8.5</v>
      </c>
      <c r="F32" s="227">
        <v>8.1</v>
      </c>
      <c r="G32" s="227">
        <v>8</v>
      </c>
      <c r="H32" s="227">
        <v>8</v>
      </c>
      <c r="I32" s="227">
        <v>8</v>
      </c>
      <c r="J32" s="227">
        <v>8</v>
      </c>
      <c r="K32" s="227">
        <v>8</v>
      </c>
      <c r="L32" s="227">
        <v>8</v>
      </c>
      <c r="M32" s="227">
        <v>7.8</v>
      </c>
      <c r="N32" s="227">
        <v>7.6</v>
      </c>
      <c r="O32" s="227">
        <v>7.7</v>
      </c>
      <c r="P32" s="227">
        <v>7.7</v>
      </c>
      <c r="Q32" s="227">
        <v>7.7</v>
      </c>
      <c r="R32" s="227">
        <v>7.67</v>
      </c>
      <c r="S32" s="227">
        <v>7.605</v>
      </c>
      <c r="T32" s="227">
        <v>7.54</v>
      </c>
      <c r="U32" s="227">
        <v>7.54</v>
      </c>
      <c r="V32" s="227">
        <v>7.54</v>
      </c>
      <c r="W32" s="227">
        <v>7.54</v>
      </c>
      <c r="X32" s="227">
        <v>7.54</v>
      </c>
      <c r="Y32" s="227">
        <v>7.54</v>
      </c>
      <c r="Z32" s="227">
        <v>7.54</v>
      </c>
      <c r="AA32" s="227">
        <v>7.54</v>
      </c>
      <c r="AB32" s="227">
        <v>7.54</v>
      </c>
      <c r="AC32" s="227">
        <v>7.54</v>
      </c>
      <c r="AD32" s="227">
        <v>7.54</v>
      </c>
      <c r="AE32" s="410">
        <v>8.255</v>
      </c>
      <c r="AF32" s="248">
        <f t="shared" si="1"/>
        <v>9.482758620689651</v>
      </c>
      <c r="AG32" s="225" t="s">
        <v>38</v>
      </c>
    </row>
    <row r="33" spans="1:33" ht="12.75" customHeight="1">
      <c r="A33" s="214"/>
      <c r="B33" s="221" t="s">
        <v>39</v>
      </c>
      <c r="C33" s="224">
        <v>5.5</v>
      </c>
      <c r="D33" s="251">
        <v>7.3</v>
      </c>
      <c r="E33" s="223">
        <v>9.663565396357743</v>
      </c>
      <c r="F33" s="223">
        <v>9.677871179540276</v>
      </c>
      <c r="G33" s="223">
        <v>9.699579341247878</v>
      </c>
      <c r="H33" s="223">
        <v>9.421206473765904</v>
      </c>
      <c r="I33" s="223">
        <v>9.531356730066832</v>
      </c>
      <c r="J33" s="223">
        <v>9.70318298834586</v>
      </c>
      <c r="K33" s="223">
        <v>9.815881642468796</v>
      </c>
      <c r="L33" s="223">
        <v>9.822218249358277</v>
      </c>
      <c r="M33" s="223">
        <v>9.777521360228848</v>
      </c>
      <c r="N33" s="223">
        <v>9.755750625837438</v>
      </c>
      <c r="O33" s="250">
        <v>9.224</v>
      </c>
      <c r="P33" s="223">
        <v>9.22</v>
      </c>
      <c r="Q33" s="223">
        <v>9.306</v>
      </c>
      <c r="R33" s="223">
        <v>9.327</v>
      </c>
      <c r="S33" s="223">
        <v>9.255</v>
      </c>
      <c r="T33" s="223">
        <v>9.254</v>
      </c>
      <c r="U33" s="223">
        <v>9.332</v>
      </c>
      <c r="V33" s="223">
        <v>9.418</v>
      </c>
      <c r="W33" s="223">
        <v>9.167</v>
      </c>
      <c r="X33" s="223">
        <v>9.239</v>
      </c>
      <c r="Y33" s="223">
        <v>9.374</v>
      </c>
      <c r="Z33" s="223">
        <v>9.647</v>
      </c>
      <c r="AA33" s="223">
        <v>9.523</v>
      </c>
      <c r="AB33" s="223">
        <v>9.704</v>
      </c>
      <c r="AC33" s="223">
        <v>9.693</v>
      </c>
      <c r="AD33" s="223">
        <v>9.82820243924015</v>
      </c>
      <c r="AE33" s="325">
        <v>9.84657371805741</v>
      </c>
      <c r="AF33" s="222">
        <f t="shared" si="1"/>
        <v>0.18692409859113468</v>
      </c>
      <c r="AG33" s="221" t="s">
        <v>39</v>
      </c>
    </row>
    <row r="34" spans="1:33" ht="12.75" customHeight="1">
      <c r="A34" s="214"/>
      <c r="B34" s="216" t="s">
        <v>28</v>
      </c>
      <c r="C34" s="309">
        <f>60.2+1.5</f>
        <v>61.7</v>
      </c>
      <c r="D34" s="309">
        <f>52.2+1.5</f>
        <v>53.7</v>
      </c>
      <c r="E34" s="307">
        <v>47.1</v>
      </c>
      <c r="F34" s="307">
        <v>45.2</v>
      </c>
      <c r="G34" s="307">
        <v>44</v>
      </c>
      <c r="H34" s="307">
        <v>45.3</v>
      </c>
      <c r="I34" s="307">
        <v>45.2</v>
      </c>
      <c r="J34" s="307">
        <v>44.8</v>
      </c>
      <c r="K34" s="307">
        <v>44.7</v>
      </c>
      <c r="L34" s="307">
        <v>45.5</v>
      </c>
      <c r="M34" s="307">
        <v>46.4</v>
      </c>
      <c r="N34" s="307">
        <v>47.7</v>
      </c>
      <c r="O34" s="307">
        <v>48</v>
      </c>
      <c r="P34" s="307">
        <v>48.04</v>
      </c>
      <c r="Q34" s="307">
        <v>42.1</v>
      </c>
      <c r="R34" s="308">
        <v>46.1</v>
      </c>
      <c r="S34" s="307">
        <v>42.52659118349422</v>
      </c>
      <c r="T34" s="307">
        <v>43.96401545253839</v>
      </c>
      <c r="U34" s="307">
        <v>41.970470057792525</v>
      </c>
      <c r="V34" s="307">
        <v>42.197936603376114</v>
      </c>
      <c r="W34" s="307">
        <v>44.709474844574544</v>
      </c>
      <c r="X34" s="307">
        <v>45.719121807781</v>
      </c>
      <c r="Y34" s="307">
        <v>46.223324420997564</v>
      </c>
      <c r="Z34" s="307">
        <v>44.10690655718805</v>
      </c>
      <c r="AA34" s="307">
        <v>43.72628609537834</v>
      </c>
      <c r="AB34" s="307">
        <v>41.881469475441314</v>
      </c>
      <c r="AC34" s="386">
        <v>41.11783422033048</v>
      </c>
      <c r="AD34" s="463">
        <v>40.86814894142244</v>
      </c>
      <c r="AE34" s="461">
        <v>35.86423915152338</v>
      </c>
      <c r="AF34" s="306">
        <f t="shared" si="1"/>
        <v>-12.244033359747505</v>
      </c>
      <c r="AG34" s="216" t="s">
        <v>28</v>
      </c>
    </row>
    <row r="35" spans="1:33" ht="12.75" customHeight="1">
      <c r="A35" s="214"/>
      <c r="B35" s="221" t="s">
        <v>112</v>
      </c>
      <c r="C35" s="224">
        <v>0.776</v>
      </c>
      <c r="D35" s="224">
        <v>1.421</v>
      </c>
      <c r="E35" s="380">
        <v>2.174</v>
      </c>
      <c r="F35" s="380">
        <v>1.28</v>
      </c>
      <c r="G35" s="380">
        <v>0.515</v>
      </c>
      <c r="H35" s="380">
        <v>0.307</v>
      </c>
      <c r="I35" s="380">
        <v>0.197</v>
      </c>
      <c r="J35" s="380">
        <v>0.196</v>
      </c>
      <c r="K35" s="380">
        <v>0.223</v>
      </c>
      <c r="L35" s="380">
        <v>0.19</v>
      </c>
      <c r="M35" s="380">
        <v>0.19</v>
      </c>
      <c r="N35" s="380">
        <v>0.221</v>
      </c>
      <c r="O35" s="380">
        <v>0.184</v>
      </c>
      <c r="P35" s="380">
        <v>0.197</v>
      </c>
      <c r="Q35" s="380">
        <v>0.159</v>
      </c>
      <c r="R35" s="380">
        <v>0.176</v>
      </c>
      <c r="S35" s="380">
        <v>0.141</v>
      </c>
      <c r="T35" s="380">
        <v>0.28</v>
      </c>
      <c r="U35" s="380">
        <v>0.48</v>
      </c>
      <c r="V35" s="380">
        <v>0.663</v>
      </c>
      <c r="W35" s="380">
        <v>0.79</v>
      </c>
      <c r="X35" s="380">
        <v>1.302</v>
      </c>
      <c r="Y35" s="380">
        <v>2.37</v>
      </c>
      <c r="Z35" s="380">
        <v>1.254</v>
      </c>
      <c r="AA35" s="380">
        <v>0.983</v>
      </c>
      <c r="AB35" s="380">
        <v>1.063</v>
      </c>
      <c r="AC35" s="400">
        <v>1.1326680761099364</v>
      </c>
      <c r="AD35" s="400">
        <v>1.2130914544345939</v>
      </c>
      <c r="AE35" s="412">
        <v>1.319032466687682</v>
      </c>
      <c r="AF35" s="241">
        <f t="shared" si="1"/>
        <v>8.73314306731028</v>
      </c>
      <c r="AG35" s="221" t="s">
        <v>112</v>
      </c>
    </row>
    <row r="36" spans="1:33" ht="12.75" customHeight="1">
      <c r="A36" s="214"/>
      <c r="B36" s="225" t="s">
        <v>104</v>
      </c>
      <c r="C36" s="256"/>
      <c r="D36" s="256"/>
      <c r="E36" s="237"/>
      <c r="F36" s="237"/>
      <c r="G36" s="237"/>
      <c r="H36" s="237"/>
      <c r="I36" s="237"/>
      <c r="J36" s="237"/>
      <c r="K36" s="237"/>
      <c r="L36" s="237"/>
      <c r="M36" s="237"/>
      <c r="N36" s="237"/>
      <c r="O36" s="237"/>
      <c r="P36" s="237"/>
      <c r="Q36" s="237"/>
      <c r="R36" s="237"/>
      <c r="S36" s="237"/>
      <c r="T36" s="237"/>
      <c r="U36" s="237"/>
      <c r="V36" s="237"/>
      <c r="W36" s="227">
        <v>0.124</v>
      </c>
      <c r="X36" s="227">
        <v>0.102</v>
      </c>
      <c r="Y36" s="227">
        <v>0.081</v>
      </c>
      <c r="Z36" s="227">
        <v>0.08</v>
      </c>
      <c r="AA36" s="227">
        <v>0.112</v>
      </c>
      <c r="AB36" s="227">
        <v>0.108802</v>
      </c>
      <c r="AC36" s="227">
        <v>0.108</v>
      </c>
      <c r="AD36" s="227">
        <f>0.109621</f>
        <v>0.109621</v>
      </c>
      <c r="AE36" s="410">
        <f>0.113798</f>
        <v>0.113798</v>
      </c>
      <c r="AF36" s="248">
        <f t="shared" si="1"/>
        <v>3.810401291723295</v>
      </c>
      <c r="AG36" s="225" t="s">
        <v>104</v>
      </c>
    </row>
    <row r="37" spans="1:33" ht="12.75" customHeight="1">
      <c r="A37" s="214"/>
      <c r="B37" s="221" t="s">
        <v>6</v>
      </c>
      <c r="C37" s="253"/>
      <c r="D37" s="253"/>
      <c r="E37" s="252"/>
      <c r="F37" s="223"/>
      <c r="G37" s="223"/>
      <c r="H37" s="223"/>
      <c r="I37" s="223"/>
      <c r="J37" s="242">
        <v>0.9</v>
      </c>
      <c r="K37" s="242">
        <v>0.9</v>
      </c>
      <c r="L37" s="242">
        <v>0.9</v>
      </c>
      <c r="M37" s="242">
        <v>0.9</v>
      </c>
      <c r="N37" s="242">
        <v>0.9</v>
      </c>
      <c r="O37" s="242">
        <v>0.9</v>
      </c>
      <c r="P37" s="223">
        <v>0.831</v>
      </c>
      <c r="Q37" s="242">
        <v>1</v>
      </c>
      <c r="R37" s="223">
        <v>1.344</v>
      </c>
      <c r="S37" s="223">
        <v>1.11</v>
      </c>
      <c r="T37" s="223">
        <v>1.086</v>
      </c>
      <c r="U37" s="223">
        <v>1.016</v>
      </c>
      <c r="V37" s="223">
        <v>1.027</v>
      </c>
      <c r="W37" s="223">
        <v>1.239</v>
      </c>
      <c r="X37" s="223">
        <v>1.213</v>
      </c>
      <c r="Y37" s="223">
        <f>1.441</f>
        <v>1.441</v>
      </c>
      <c r="Z37" s="223">
        <v>1.64</v>
      </c>
      <c r="AA37" s="223">
        <v>1.403</v>
      </c>
      <c r="AB37" s="223">
        <v>1.395</v>
      </c>
      <c r="AC37" s="223">
        <v>1.208</v>
      </c>
      <c r="AD37" s="223">
        <v>1.248</v>
      </c>
      <c r="AE37" s="325">
        <v>1.101</v>
      </c>
      <c r="AF37" s="222">
        <f t="shared" si="1"/>
        <v>-11.77884615384616</v>
      </c>
      <c r="AG37" s="221" t="s">
        <v>6</v>
      </c>
    </row>
    <row r="38" spans="1:33" ht="12.75" customHeight="1">
      <c r="A38" s="214"/>
      <c r="B38" s="225" t="s">
        <v>105</v>
      </c>
      <c r="C38" s="304"/>
      <c r="D38" s="304"/>
      <c r="E38" s="303"/>
      <c r="F38" s="227"/>
      <c r="G38" s="227"/>
      <c r="H38" s="227"/>
      <c r="I38" s="227"/>
      <c r="J38" s="237"/>
      <c r="K38" s="237"/>
      <c r="L38" s="237"/>
      <c r="M38" s="237"/>
      <c r="N38" s="237"/>
      <c r="O38" s="237"/>
      <c r="P38" s="227"/>
      <c r="Q38" s="237"/>
      <c r="R38" s="227"/>
      <c r="S38" s="227"/>
      <c r="T38" s="227"/>
      <c r="U38" s="227"/>
      <c r="V38" s="227"/>
      <c r="W38" s="237"/>
      <c r="X38" s="237"/>
      <c r="Y38" s="237">
        <v>9.398804324412298</v>
      </c>
      <c r="Z38" s="237">
        <v>9.547604794538175</v>
      </c>
      <c r="AA38" s="237">
        <v>9.462568086499578</v>
      </c>
      <c r="AB38" s="237">
        <v>9.21917067650737</v>
      </c>
      <c r="AC38" s="237">
        <v>8.89309021507867</v>
      </c>
      <c r="AD38" s="237">
        <v>9.40285768293613</v>
      </c>
      <c r="AE38" s="394">
        <v>8.95546489238502</v>
      </c>
      <c r="AF38" s="236">
        <f t="shared" si="1"/>
        <v>-4.758051282250264</v>
      </c>
      <c r="AG38" s="225" t="s">
        <v>105</v>
      </c>
    </row>
    <row r="39" spans="1:33" s="235" customFormat="1" ht="12.75" customHeight="1">
      <c r="A39" s="240"/>
      <c r="B39" s="229" t="s">
        <v>24</v>
      </c>
      <c r="C39" s="224" t="s">
        <v>41</v>
      </c>
      <c r="D39" s="224" t="s">
        <v>41</v>
      </c>
      <c r="E39" s="223" t="s">
        <v>41</v>
      </c>
      <c r="F39" s="223" t="s">
        <v>41</v>
      </c>
      <c r="G39" s="223" t="s">
        <v>41</v>
      </c>
      <c r="H39" s="223">
        <v>86.914</v>
      </c>
      <c r="I39" s="223">
        <v>79.17</v>
      </c>
      <c r="J39" s="223">
        <v>85.674</v>
      </c>
      <c r="K39" s="223">
        <v>91.658</v>
      </c>
      <c r="L39" s="223">
        <v>95.36</v>
      </c>
      <c r="M39" s="223">
        <v>94.914</v>
      </c>
      <c r="N39" s="223">
        <v>91.263</v>
      </c>
      <c r="O39" s="223">
        <v>87.391</v>
      </c>
      <c r="P39" s="223">
        <v>76.8</v>
      </c>
      <c r="Q39" s="242">
        <v>80</v>
      </c>
      <c r="R39" s="242">
        <v>81</v>
      </c>
      <c r="S39" s="242">
        <v>85</v>
      </c>
      <c r="T39" s="242">
        <v>95</v>
      </c>
      <c r="U39" s="242">
        <v>100</v>
      </c>
      <c r="V39" s="242">
        <v>105</v>
      </c>
      <c r="W39" s="242">
        <v>110</v>
      </c>
      <c r="X39" s="232">
        <v>88.426</v>
      </c>
      <c r="Y39" s="223">
        <v>89.056</v>
      </c>
      <c r="Z39" s="223">
        <v>95.334</v>
      </c>
      <c r="AA39" s="223">
        <v>96.559</v>
      </c>
      <c r="AB39" s="223">
        <v>94.846</v>
      </c>
      <c r="AC39" s="223">
        <v>93.918</v>
      </c>
      <c r="AD39" s="223">
        <v>90.839</v>
      </c>
      <c r="AE39" s="325">
        <v>86.999</v>
      </c>
      <c r="AF39" s="230">
        <f t="shared" si="1"/>
        <v>-4.227259216856211</v>
      </c>
      <c r="AG39" s="229" t="s">
        <v>24</v>
      </c>
    </row>
    <row r="40" spans="1:33" s="235" customFormat="1" ht="12.75" customHeight="1">
      <c r="A40" s="240"/>
      <c r="B40" s="225" t="s">
        <v>10</v>
      </c>
      <c r="C40" s="228" t="s">
        <v>41</v>
      </c>
      <c r="D40" s="228" t="s">
        <v>41</v>
      </c>
      <c r="E40" s="226" t="s">
        <v>41</v>
      </c>
      <c r="F40" s="226" t="s">
        <v>41</v>
      </c>
      <c r="G40" s="226" t="s">
        <v>41</v>
      </c>
      <c r="H40" s="226" t="s">
        <v>41</v>
      </c>
      <c r="I40" s="226" t="s">
        <v>41</v>
      </c>
      <c r="J40" s="226">
        <v>0.389</v>
      </c>
      <c r="K40" s="226">
        <v>0.408</v>
      </c>
      <c r="L40" s="226">
        <v>0.433</v>
      </c>
      <c r="M40" s="226">
        <v>0.458</v>
      </c>
      <c r="N40" s="226">
        <v>0.468</v>
      </c>
      <c r="O40" s="226">
        <v>0.485</v>
      </c>
      <c r="P40" s="226">
        <v>0.508</v>
      </c>
      <c r="Q40" s="226">
        <v>0.523</v>
      </c>
      <c r="R40" s="226">
        <v>0.537</v>
      </c>
      <c r="S40" s="226">
        <v>0.554</v>
      </c>
      <c r="T40" s="226">
        <v>0.587</v>
      </c>
      <c r="U40" s="226">
        <v>0.622</v>
      </c>
      <c r="V40" s="226">
        <v>0.653</v>
      </c>
      <c r="W40" s="226">
        <v>0.636</v>
      </c>
      <c r="X40" s="226">
        <v>0.644</v>
      </c>
      <c r="Y40" s="226">
        <v>0.638</v>
      </c>
      <c r="Z40" s="226">
        <v>0.615</v>
      </c>
      <c r="AA40" s="226">
        <v>0.622</v>
      </c>
      <c r="AB40" s="226">
        <v>0.64</v>
      </c>
      <c r="AC40" s="384">
        <v>0.673</v>
      </c>
      <c r="AD40" s="384">
        <v>0.718</v>
      </c>
      <c r="AE40" s="413">
        <v>0.833</v>
      </c>
      <c r="AF40" s="401">
        <f t="shared" si="1"/>
        <v>16.016713091922014</v>
      </c>
      <c r="AG40" s="225" t="s">
        <v>10</v>
      </c>
    </row>
    <row r="41" spans="1:33" ht="12.75" customHeight="1">
      <c r="A41" s="214"/>
      <c r="B41" s="221" t="s">
        <v>40</v>
      </c>
      <c r="C41" s="224">
        <v>3.726</v>
      </c>
      <c r="D41" s="224">
        <v>4.257</v>
      </c>
      <c r="E41" s="223">
        <v>3.89</v>
      </c>
      <c r="F41" s="223">
        <v>3.935</v>
      </c>
      <c r="G41" s="223">
        <v>3.935</v>
      </c>
      <c r="H41" s="223">
        <v>3.935</v>
      </c>
      <c r="I41" s="223">
        <v>4</v>
      </c>
      <c r="J41" s="223">
        <v>3.752</v>
      </c>
      <c r="K41" s="223">
        <v>4.117</v>
      </c>
      <c r="L41" s="223">
        <v>4.248</v>
      </c>
      <c r="M41" s="223">
        <v>4.212</v>
      </c>
      <c r="N41" s="223">
        <v>4.177</v>
      </c>
      <c r="O41" s="223">
        <v>4.141</v>
      </c>
      <c r="P41" s="223">
        <v>4.105</v>
      </c>
      <c r="Q41" s="223">
        <v>4.125</v>
      </c>
      <c r="R41" s="223">
        <v>4.005</v>
      </c>
      <c r="S41" s="223">
        <v>4.231</v>
      </c>
      <c r="T41" s="223">
        <v>4.312</v>
      </c>
      <c r="U41" s="223">
        <v>4.258</v>
      </c>
      <c r="V41" s="223">
        <v>4.268</v>
      </c>
      <c r="W41" s="223">
        <v>4.36</v>
      </c>
      <c r="X41" s="223">
        <v>4.401</v>
      </c>
      <c r="Y41" s="223">
        <f>4.506</f>
        <v>4.506</v>
      </c>
      <c r="Z41" s="223">
        <v>4.748</v>
      </c>
      <c r="AA41" s="223">
        <v>3.788</v>
      </c>
      <c r="AB41" s="223">
        <v>3.738</v>
      </c>
      <c r="AC41" s="223">
        <v>3.793</v>
      </c>
      <c r="AD41" s="223">
        <v>4.089</v>
      </c>
      <c r="AE41" s="325">
        <v>4.331</v>
      </c>
      <c r="AF41" s="222">
        <f t="shared" si="1"/>
        <v>5.918317437026175</v>
      </c>
      <c r="AG41" s="221" t="s">
        <v>40</v>
      </c>
    </row>
    <row r="42" spans="1:33" s="235" customFormat="1" ht="12.75" customHeight="1">
      <c r="A42" s="240"/>
      <c r="B42" s="216" t="s">
        <v>11</v>
      </c>
      <c r="C42" s="220">
        <v>1.885</v>
      </c>
      <c r="D42" s="220">
        <v>2.486</v>
      </c>
      <c r="E42" s="218">
        <v>3.318</v>
      </c>
      <c r="F42" s="218">
        <v>3.627</v>
      </c>
      <c r="G42" s="218">
        <v>3.583</v>
      </c>
      <c r="H42" s="218">
        <v>3.539</v>
      </c>
      <c r="I42" s="249">
        <v>3.531</v>
      </c>
      <c r="J42" s="218">
        <f>2.3881+0.8137+2.327</f>
        <v>5.5288</v>
      </c>
      <c r="K42" s="218">
        <f>2.2944+0.8259+2.304</f>
        <v>5.4243</v>
      </c>
      <c r="L42" s="218">
        <f>2.2758+0.8245+2.287</f>
        <v>5.3873</v>
      </c>
      <c r="M42" s="219">
        <f>0.547+2.0788+2.129</f>
        <v>4.7548</v>
      </c>
      <c r="N42" s="218">
        <f>0.529+2.1269+2.069</f>
        <v>4.7249</v>
      </c>
      <c r="O42" s="218">
        <f>0.5283+2.1834+2.087</f>
        <v>4.7987</v>
      </c>
      <c r="P42" s="218">
        <f>0.5267+2.3116+2.01</f>
        <v>4.8483</v>
      </c>
      <c r="Q42" s="218">
        <f>0.5281+2.3648+1.968</f>
        <v>4.8609</v>
      </c>
      <c r="R42" s="218">
        <f>0.5193+2.4579+2.017</f>
        <v>4.994199999999999</v>
      </c>
      <c r="S42" s="218">
        <f>0.5348+2.4569+2.066</f>
        <v>5.0577000000000005</v>
      </c>
      <c r="T42" s="218">
        <v>5.3115</v>
      </c>
      <c r="U42" s="218">
        <v>5.6021</v>
      </c>
      <c r="V42" s="218">
        <v>5.673</v>
      </c>
      <c r="W42" s="218">
        <v>5.3265</v>
      </c>
      <c r="X42" s="218">
        <v>5.4176910016</v>
      </c>
      <c r="Y42" s="218">
        <v>5.5076538816</v>
      </c>
      <c r="Z42" s="218">
        <v>5.6060850048</v>
      </c>
      <c r="AA42" s="218">
        <v>5.7069478848</v>
      </c>
      <c r="AB42" s="218">
        <v>5.7751977792</v>
      </c>
      <c r="AC42" s="385">
        <v>5.8559</v>
      </c>
      <c r="AD42" s="435">
        <v>6.0099260096</v>
      </c>
      <c r="AE42" s="462">
        <f>0.522+2.782+2.827</f>
        <v>6.131</v>
      </c>
      <c r="AF42" s="217">
        <f t="shared" si="1"/>
        <v>2.0145670713183677</v>
      </c>
      <c r="AG42" s="216" t="s">
        <v>11</v>
      </c>
    </row>
    <row r="43" spans="1:33" ht="12.75" customHeight="1">
      <c r="A43" s="214"/>
      <c r="B43" s="302" t="s">
        <v>103</v>
      </c>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1"/>
    </row>
    <row r="44" spans="1:33" s="235" customFormat="1" ht="12.75" customHeight="1">
      <c r="A44" s="240"/>
      <c r="B44" s="300" t="s">
        <v>5</v>
      </c>
      <c r="C44" s="299"/>
      <c r="D44" s="208"/>
      <c r="E44" s="208"/>
      <c r="F44" s="208"/>
      <c r="G44" s="208"/>
      <c r="H44" s="298"/>
      <c r="I44" s="208"/>
      <c r="J44" s="208"/>
      <c r="K44" s="209"/>
      <c r="L44" s="208"/>
      <c r="M44" s="207"/>
      <c r="N44" s="207"/>
      <c r="O44" s="199"/>
      <c r="P44" s="199"/>
      <c r="Q44" s="199"/>
      <c r="R44" s="199"/>
      <c r="S44" s="199"/>
      <c r="T44" s="199"/>
      <c r="U44" s="199"/>
      <c r="V44" s="199"/>
      <c r="W44" s="199"/>
      <c r="X44" s="199"/>
      <c r="Y44" s="199"/>
      <c r="Z44" s="199"/>
      <c r="AA44" s="199"/>
      <c r="AB44" s="199"/>
      <c r="AC44" s="199"/>
      <c r="AD44" s="199"/>
      <c r="AE44" s="199"/>
      <c r="AF44" s="296"/>
      <c r="AG44" s="199"/>
    </row>
    <row r="45" spans="2:33" ht="15" customHeight="1">
      <c r="B45" s="203" t="s">
        <v>131</v>
      </c>
      <c r="C45" s="203"/>
      <c r="D45" s="294"/>
      <c r="E45" s="294"/>
      <c r="F45" s="294"/>
      <c r="G45" s="294"/>
      <c r="H45" s="294"/>
      <c r="I45" s="294"/>
      <c r="J45" s="294"/>
      <c r="K45" s="294"/>
      <c r="L45" s="294"/>
      <c r="M45" s="294"/>
      <c r="N45" s="294"/>
      <c r="O45" s="387"/>
      <c r="P45" s="387"/>
      <c r="Q45" s="387"/>
      <c r="R45" s="387"/>
      <c r="S45" s="387"/>
      <c r="T45" s="387"/>
      <c r="U45" s="387"/>
      <c r="V45" s="387"/>
      <c r="W45" s="387"/>
      <c r="X45" s="387"/>
      <c r="Y45" s="387"/>
      <c r="Z45" s="387"/>
      <c r="AA45" s="387"/>
      <c r="AB45" s="387"/>
      <c r="AC45" s="387"/>
      <c r="AD45" s="387"/>
      <c r="AE45" s="387"/>
      <c r="AF45" s="203"/>
      <c r="AG45" s="203"/>
    </row>
    <row r="46" spans="2:33" ht="12.75" customHeight="1">
      <c r="B46" s="521" t="s">
        <v>134</v>
      </c>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203"/>
    </row>
    <row r="47" spans="2:33" s="203" customFormat="1" ht="12.75" customHeight="1">
      <c r="B47" s="199" t="s">
        <v>118</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row>
    <row r="48" spans="2:33" s="203" customFormat="1" ht="12.75" customHeight="1">
      <c r="B48" s="199" t="s">
        <v>126</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row>
    <row r="49" ht="11.25">
      <c r="B49" s="199" t="s">
        <v>122</v>
      </c>
    </row>
    <row r="50" spans="2:29" ht="11.25">
      <c r="B50" s="295" t="s">
        <v>83</v>
      </c>
      <c r="C50" s="203"/>
      <c r="D50" s="294"/>
      <c r="E50" s="294"/>
      <c r="F50" s="294"/>
      <c r="G50" s="294"/>
      <c r="H50" s="294"/>
      <c r="I50" s="294"/>
      <c r="J50" s="294"/>
      <c r="K50" s="294"/>
      <c r="L50" s="294"/>
      <c r="M50" s="294"/>
      <c r="N50" s="294"/>
      <c r="O50" s="294"/>
      <c r="P50" s="294"/>
      <c r="Q50" s="294"/>
      <c r="R50" s="294"/>
      <c r="S50" s="294"/>
      <c r="AB50" s="203"/>
      <c r="AC50" s="203"/>
    </row>
    <row r="51" spans="2:29" ht="12.75" customHeight="1">
      <c r="B51" s="199" t="s">
        <v>116</v>
      </c>
      <c r="C51" s="292"/>
      <c r="D51" s="292"/>
      <c r="E51" s="292"/>
      <c r="F51" s="292"/>
      <c r="G51" s="292"/>
      <c r="H51" s="292"/>
      <c r="I51" s="292"/>
      <c r="J51" s="292"/>
      <c r="K51" s="292"/>
      <c r="L51" s="293"/>
      <c r="M51" s="293"/>
      <c r="N51" s="293"/>
      <c r="O51" s="294"/>
      <c r="P51" s="294"/>
      <c r="Q51" s="294"/>
      <c r="R51" s="294"/>
      <c r="S51" s="294"/>
      <c r="T51" s="294"/>
      <c r="U51" s="294"/>
      <c r="V51" s="294"/>
      <c r="W51" s="294"/>
      <c r="X51" s="294"/>
      <c r="Y51" s="294"/>
      <c r="Z51" s="294"/>
      <c r="AA51" s="294"/>
      <c r="AB51" s="294"/>
      <c r="AC51" s="294"/>
    </row>
    <row r="52" spans="2:33" s="203" customFormat="1" ht="11.25" customHeight="1">
      <c r="B52" s="199" t="s">
        <v>125</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row>
    <row r="53" spans="2:19" ht="12.75" customHeight="1">
      <c r="B53" s="257" t="s">
        <v>128</v>
      </c>
      <c r="E53" s="389"/>
      <c r="F53" s="389"/>
      <c r="G53" s="389"/>
      <c r="H53" s="389"/>
      <c r="I53" s="389"/>
      <c r="J53" s="389"/>
      <c r="K53" s="389"/>
      <c r="L53" s="389"/>
      <c r="M53" s="389"/>
      <c r="N53" s="389"/>
      <c r="O53" s="389"/>
      <c r="P53" s="389"/>
      <c r="Q53" s="389"/>
      <c r="R53" s="389"/>
      <c r="S53" s="389"/>
    </row>
    <row r="54" spans="20:29" ht="11.25">
      <c r="T54" s="215"/>
      <c r="AB54" s="215"/>
      <c r="AC54" s="215"/>
    </row>
    <row r="55" ht="11.25">
      <c r="E55" s="388"/>
    </row>
    <row r="57" spans="21:27" ht="11.25">
      <c r="U57" s="294"/>
      <c r="V57" s="294"/>
      <c r="W57" s="294"/>
      <c r="X57" s="294"/>
      <c r="Y57" s="294"/>
      <c r="Z57" s="294"/>
      <c r="AA57" s="294"/>
    </row>
    <row r="59" spans="20:29" ht="11.25">
      <c r="T59" s="173"/>
      <c r="U59" s="389"/>
      <c r="V59" s="390"/>
      <c r="W59" s="390"/>
      <c r="X59" s="390"/>
      <c r="Y59" s="390"/>
      <c r="Z59" s="390"/>
      <c r="AA59" s="390"/>
      <c r="AB59" s="173"/>
      <c r="AC59" s="173"/>
    </row>
    <row r="60" spans="20:29" ht="11.25">
      <c r="T60" s="173"/>
      <c r="AB60" s="173"/>
      <c r="AC60" s="173"/>
    </row>
    <row r="61" spans="20:29" ht="11.25">
      <c r="T61" s="405"/>
      <c r="AB61" s="405"/>
      <c r="AC61" s="405"/>
    </row>
    <row r="62" spans="20:29" ht="11.25">
      <c r="T62" s="215"/>
      <c r="AB62" s="215"/>
      <c r="AC62" s="215"/>
    </row>
    <row r="63" spans="23:27" ht="11.25">
      <c r="W63" s="390"/>
      <c r="X63" s="390"/>
      <c r="Y63" s="390"/>
      <c r="Z63" s="390"/>
      <c r="AA63" s="390"/>
    </row>
    <row r="69" spans="23:29" ht="11.25">
      <c r="W69" s="390"/>
      <c r="X69" s="390"/>
      <c r="Y69" s="390"/>
      <c r="Z69" s="390"/>
      <c r="AA69" s="390"/>
      <c r="AB69" s="390"/>
      <c r="AC69" s="390"/>
    </row>
    <row r="70" spans="23:29" ht="11.25">
      <c r="W70" s="390"/>
      <c r="X70" s="390"/>
      <c r="Y70" s="390"/>
      <c r="Z70" s="390"/>
      <c r="AA70" s="390"/>
      <c r="AB70" s="390"/>
      <c r="AC70" s="390"/>
    </row>
  </sheetData>
  <sheetProtection/>
  <mergeCells count="2">
    <mergeCell ref="B2:AG2"/>
    <mergeCell ref="B46:AF46"/>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G70"/>
  <sheetViews>
    <sheetView zoomScalePageLayoutView="0" workbookViewId="0" topLeftCell="A25">
      <selection activeCell="M61" sqref="M61"/>
    </sheetView>
  </sheetViews>
  <sheetFormatPr defaultColWidth="9.140625" defaultRowHeight="12.75"/>
  <cols>
    <col min="1" max="1" width="2.7109375" style="214" customWidth="1"/>
    <col min="2" max="2" width="4.00390625" style="199" customWidth="1"/>
    <col min="3" max="20" width="6.7109375" style="199" customWidth="1"/>
    <col min="21" max="31" width="7.28125" style="199" customWidth="1"/>
    <col min="32" max="32" width="8.00390625" style="199" customWidth="1"/>
    <col min="33" max="33" width="4.8515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90</v>
      </c>
    </row>
    <row r="2" spans="1:33" s="203" customFormat="1" ht="30" customHeight="1">
      <c r="A2" s="347"/>
      <c r="B2" s="520" t="s">
        <v>1</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5" customHeight="1">
      <c r="C3" s="286"/>
      <c r="D3" s="286"/>
      <c r="E3" s="286"/>
      <c r="F3" s="286"/>
      <c r="G3" s="286"/>
      <c r="H3" s="286"/>
      <c r="I3" s="286"/>
      <c r="J3" s="286"/>
      <c r="K3" s="286"/>
      <c r="L3" s="286"/>
      <c r="M3" s="286"/>
      <c r="N3" s="286"/>
      <c r="O3" s="286"/>
      <c r="P3" s="286"/>
      <c r="Q3" s="286"/>
      <c r="X3" s="286" t="s">
        <v>106</v>
      </c>
      <c r="Y3" s="286"/>
      <c r="Z3" s="286"/>
      <c r="AA3" s="286"/>
      <c r="AB3" s="286"/>
      <c r="AC3" s="286"/>
      <c r="AD3" s="286"/>
      <c r="AE3" s="286"/>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4" t="s">
        <v>41</v>
      </c>
      <c r="D6" s="474" t="s">
        <v>41</v>
      </c>
      <c r="E6" s="471" t="s">
        <v>41</v>
      </c>
      <c r="F6" s="471" t="s">
        <v>41</v>
      </c>
      <c r="G6" s="471" t="s">
        <v>41</v>
      </c>
      <c r="H6" s="471" t="s">
        <v>41</v>
      </c>
      <c r="I6" s="471" t="s">
        <v>41</v>
      </c>
      <c r="J6" s="472">
        <f aca="true" t="shared" si="0" ref="J6:AA6">SUM(J7:J34)</f>
        <v>73.71903011209119</v>
      </c>
      <c r="K6" s="472">
        <f t="shared" si="0"/>
        <v>74.88954108527673</v>
      </c>
      <c r="L6" s="472">
        <f t="shared" si="0"/>
        <v>75.67054402780744</v>
      </c>
      <c r="M6" s="472">
        <f t="shared" si="0"/>
        <v>76.85262198072537</v>
      </c>
      <c r="N6" s="472">
        <f t="shared" si="0"/>
        <v>78.51509682077854</v>
      </c>
      <c r="O6" s="472">
        <f t="shared" si="0"/>
        <v>80.0924826697441</v>
      </c>
      <c r="P6" s="472">
        <f t="shared" si="0"/>
        <v>80.89515498490023</v>
      </c>
      <c r="Q6" s="472">
        <f t="shared" si="0"/>
        <v>81.67139268915017</v>
      </c>
      <c r="R6" s="472">
        <f t="shared" si="0"/>
        <v>82.09006979555612</v>
      </c>
      <c r="S6" s="472">
        <f t="shared" si="0"/>
        <v>85.34013743624409</v>
      </c>
      <c r="T6" s="472">
        <f t="shared" si="0"/>
        <v>86.08519745887872</v>
      </c>
      <c r="U6" s="472">
        <f t="shared" si="0"/>
        <v>87.85912816090782</v>
      </c>
      <c r="V6" s="472">
        <f t="shared" si="0"/>
        <v>89.97241998789852</v>
      </c>
      <c r="W6" s="472">
        <f t="shared" si="0"/>
        <v>93.54354812448204</v>
      </c>
      <c r="X6" s="472">
        <f t="shared" si="0"/>
        <v>93.45798241195453</v>
      </c>
      <c r="Y6" s="472">
        <f t="shared" si="0"/>
        <v>96.12143266802344</v>
      </c>
      <c r="Z6" s="472">
        <f t="shared" si="0"/>
        <v>97.3460186098992</v>
      </c>
      <c r="AA6" s="472">
        <f t="shared" si="0"/>
        <v>98.92246983318948</v>
      </c>
      <c r="AB6" s="472">
        <f>SUM(AB7:AB34)</f>
        <v>99.36466294826151</v>
      </c>
      <c r="AC6" s="472">
        <f>SUM(AC7:AC34)</f>
        <v>100.67064467596639</v>
      </c>
      <c r="AD6" s="472">
        <f>SUM(AD7:AD34)</f>
        <v>102.14946262726792</v>
      </c>
      <c r="AE6" s="472">
        <f>SUM(AE7:AE34)</f>
        <v>105.6298695717889</v>
      </c>
      <c r="AF6" s="475">
        <f>AE6/AD6*100-100</f>
        <v>3.4071710756037987</v>
      </c>
      <c r="AG6" s="476" t="s">
        <v>113</v>
      </c>
    </row>
    <row r="7" spans="2:33" ht="12.75" customHeight="1">
      <c r="B7" s="221" t="s">
        <v>29</v>
      </c>
      <c r="C7" s="266">
        <v>0.86</v>
      </c>
      <c r="D7" s="266">
        <v>0.77</v>
      </c>
      <c r="E7" s="263">
        <v>0.74</v>
      </c>
      <c r="F7" s="263">
        <v>0.75</v>
      </c>
      <c r="G7" s="263">
        <v>0.76</v>
      </c>
      <c r="H7" s="263">
        <v>0.77</v>
      </c>
      <c r="I7" s="263">
        <v>0.79</v>
      </c>
      <c r="J7" s="263">
        <v>0.8</v>
      </c>
      <c r="K7" s="263">
        <v>0.81</v>
      </c>
      <c r="L7" s="263">
        <v>0.82</v>
      </c>
      <c r="M7" s="263">
        <v>0.82</v>
      </c>
      <c r="N7" s="263">
        <v>0.82</v>
      </c>
      <c r="O7" s="263">
        <v>0.87</v>
      </c>
      <c r="P7" s="263">
        <v>0.876</v>
      </c>
      <c r="Q7" s="264">
        <v>0.89</v>
      </c>
      <c r="R7" s="264">
        <v>0.9</v>
      </c>
      <c r="S7" s="264">
        <v>0.91</v>
      </c>
      <c r="T7" s="264">
        <v>0.93</v>
      </c>
      <c r="U7" s="264">
        <v>0.95</v>
      </c>
      <c r="V7" s="264">
        <v>0.97</v>
      </c>
      <c r="W7" s="264">
        <v>1</v>
      </c>
      <c r="X7" s="264">
        <v>1</v>
      </c>
      <c r="Y7" s="264">
        <v>1.07</v>
      </c>
      <c r="Z7" s="264">
        <f>Y7*329.9/311.6</f>
        <v>1.1328401797175867</v>
      </c>
      <c r="AA7" s="264">
        <f>Z7*(132.4+123.5)/(125.8+112.1)</f>
        <v>1.2185531819660802</v>
      </c>
      <c r="AB7" s="264">
        <f>AA7*354.8/348.8</f>
        <v>1.2395145325732948</v>
      </c>
      <c r="AC7" s="264">
        <f>AB7*(133.4+131.3)/(138.3+128.9)</f>
        <v>1.227917278338889</v>
      </c>
      <c r="AD7" s="264">
        <f>AC7*((134.9+132.7)/(133.4+131.1))</f>
        <v>1.242308747385583</v>
      </c>
      <c r="AE7" s="264">
        <f>AD7*((136.8+136.2)/(134.9+132.7))</f>
        <v>1.2673777579830499</v>
      </c>
      <c r="AF7" s="274">
        <f aca="true" t="shared" si="1" ref="AF7:AF34">AE7/AD7*100-100</f>
        <v>2.017937219730939</v>
      </c>
      <c r="AG7" s="221" t="s">
        <v>29</v>
      </c>
    </row>
    <row r="8" spans="2:33" ht="12.75" customHeight="1">
      <c r="B8" s="225" t="s">
        <v>12</v>
      </c>
      <c r="C8" s="239"/>
      <c r="D8" s="239"/>
      <c r="E8" s="227">
        <v>0.586</v>
      </c>
      <c r="F8" s="227">
        <v>0.454</v>
      </c>
      <c r="G8" s="227">
        <v>0.524</v>
      </c>
      <c r="H8" s="227">
        <v>0.283</v>
      </c>
      <c r="I8" s="227">
        <v>0.25</v>
      </c>
      <c r="J8" s="227">
        <v>0.283</v>
      </c>
      <c r="K8" s="227">
        <v>0.296</v>
      </c>
      <c r="L8" s="260">
        <v>0.308</v>
      </c>
      <c r="M8" s="227">
        <v>0.444</v>
      </c>
      <c r="N8" s="227">
        <v>0.46</v>
      </c>
      <c r="O8" s="227">
        <v>0.419</v>
      </c>
      <c r="P8" s="227">
        <v>0.469</v>
      </c>
      <c r="Q8" s="227">
        <v>0.436</v>
      </c>
      <c r="R8" s="227">
        <v>0.486</v>
      </c>
      <c r="S8" s="227">
        <v>0.44</v>
      </c>
      <c r="T8" s="227">
        <v>0.434</v>
      </c>
      <c r="U8" s="227">
        <v>0.446</v>
      </c>
      <c r="V8" s="227">
        <v>0.443</v>
      </c>
      <c r="W8" s="227">
        <v>0.486</v>
      </c>
      <c r="X8" s="227">
        <v>0.688</v>
      </c>
      <c r="Y8" s="227">
        <f>0.909</f>
        <v>0.909</v>
      </c>
      <c r="Z8" s="227">
        <v>0.872</v>
      </c>
      <c r="AA8" s="227">
        <v>1.02</v>
      </c>
      <c r="AB8" s="227">
        <v>1.01</v>
      </c>
      <c r="AC8" s="227">
        <v>0.729</v>
      </c>
      <c r="AD8" s="227">
        <v>0.740478</v>
      </c>
      <c r="AE8" s="227">
        <v>0.815</v>
      </c>
      <c r="AF8" s="248">
        <f t="shared" si="1"/>
        <v>10.064039714886874</v>
      </c>
      <c r="AG8" s="225" t="s">
        <v>12</v>
      </c>
    </row>
    <row r="9" spans="2:33" ht="12.75" customHeight="1">
      <c r="B9" s="221" t="s">
        <v>14</v>
      </c>
      <c r="C9" s="314"/>
      <c r="D9" s="314"/>
      <c r="E9" s="272"/>
      <c r="F9" s="272"/>
      <c r="G9" s="272"/>
      <c r="H9" s="272" t="s">
        <v>41</v>
      </c>
      <c r="I9" s="272" t="s">
        <v>41</v>
      </c>
      <c r="J9" s="272">
        <v>7.688</v>
      </c>
      <c r="K9" s="272">
        <v>7.791</v>
      </c>
      <c r="L9" s="272">
        <v>7.863</v>
      </c>
      <c r="M9" s="272">
        <v>7.855</v>
      </c>
      <c r="N9" s="272">
        <v>8.154</v>
      </c>
      <c r="O9" s="272">
        <v>8.068</v>
      </c>
      <c r="P9" s="272">
        <v>8.227</v>
      </c>
      <c r="Q9" s="272">
        <v>8.307</v>
      </c>
      <c r="R9" s="272">
        <v>8.5634</v>
      </c>
      <c r="S9" s="272">
        <f>4.8847+3.8408</f>
        <v>8.7255</v>
      </c>
      <c r="T9" s="272">
        <f>4.769+3.1652</f>
        <v>7.934200000000001</v>
      </c>
      <c r="U9" s="272">
        <f>4.5344+3.2644</f>
        <v>7.7988</v>
      </c>
      <c r="V9" s="272">
        <f>4.4489+3.3015</f>
        <v>7.7504</v>
      </c>
      <c r="W9" s="272">
        <f>4.678+4.4648</f>
        <v>9.142800000000001</v>
      </c>
      <c r="X9" s="272">
        <v>8.9867</v>
      </c>
      <c r="Y9" s="272">
        <f>4.624+4.373</f>
        <v>8.997</v>
      </c>
      <c r="Z9" s="272">
        <f>4.461+4.255</f>
        <v>8.716000000000001</v>
      </c>
      <c r="AA9" s="272">
        <f>4.465+5.037</f>
        <v>9.501999999999999</v>
      </c>
      <c r="AB9" s="272">
        <v>9.580900000000002</v>
      </c>
      <c r="AC9" s="272">
        <f>4.721+4.8364</f>
        <v>9.557400000000001</v>
      </c>
      <c r="AD9" s="272">
        <f>4.619+5.214</f>
        <v>9.833</v>
      </c>
      <c r="AE9" s="272">
        <f>5.0653+5.8687</f>
        <v>10.934</v>
      </c>
      <c r="AF9" s="222">
        <f t="shared" si="1"/>
        <v>11.196989728465368</v>
      </c>
      <c r="AG9" s="221" t="s">
        <v>14</v>
      </c>
    </row>
    <row r="10" spans="2:33" ht="12.75" customHeight="1">
      <c r="B10" s="225" t="s">
        <v>25</v>
      </c>
      <c r="C10" s="333" t="s">
        <v>43</v>
      </c>
      <c r="D10" s="333" t="s">
        <v>43</v>
      </c>
      <c r="E10" s="332" t="s">
        <v>43</v>
      </c>
      <c r="F10" s="332" t="s">
        <v>43</v>
      </c>
      <c r="G10" s="332" t="s">
        <v>43</v>
      </c>
      <c r="H10" s="332" t="s">
        <v>43</v>
      </c>
      <c r="I10" s="332" t="s">
        <v>43</v>
      </c>
      <c r="J10" s="332" t="s">
        <v>43</v>
      </c>
      <c r="K10" s="332" t="s">
        <v>43</v>
      </c>
      <c r="L10" s="332" t="s">
        <v>43</v>
      </c>
      <c r="M10" s="332" t="s">
        <v>43</v>
      </c>
      <c r="N10" s="332" t="s">
        <v>43</v>
      </c>
      <c r="O10" s="332" t="s">
        <v>43</v>
      </c>
      <c r="P10" s="332" t="s">
        <v>43</v>
      </c>
      <c r="Q10" s="227">
        <v>0.009</v>
      </c>
      <c r="R10" s="227">
        <v>0.067</v>
      </c>
      <c r="S10" s="227">
        <v>0.128</v>
      </c>
      <c r="T10" s="227">
        <v>0.162</v>
      </c>
      <c r="U10" s="227">
        <v>0.164</v>
      </c>
      <c r="V10" s="227">
        <v>0.177</v>
      </c>
      <c r="W10" s="227">
        <v>0.195</v>
      </c>
      <c r="X10" s="227">
        <v>0.215</v>
      </c>
      <c r="Y10" s="227">
        <v>0.239</v>
      </c>
      <c r="Z10" s="227">
        <v>0.278</v>
      </c>
      <c r="AA10" s="227">
        <v>0.274</v>
      </c>
      <c r="AB10" s="227">
        <v>0.284</v>
      </c>
      <c r="AC10" s="227">
        <v>0.295</v>
      </c>
      <c r="AD10" s="227">
        <v>0.302</v>
      </c>
      <c r="AE10" s="227">
        <v>0.321</v>
      </c>
      <c r="AF10" s="248">
        <f t="shared" si="1"/>
        <v>6.291390728476813</v>
      </c>
      <c r="AG10" s="225" t="s">
        <v>25</v>
      </c>
    </row>
    <row r="11" spans="1:33" s="235" customFormat="1" ht="12.75" customHeight="1">
      <c r="A11" s="240"/>
      <c r="B11" s="221" t="s">
        <v>30</v>
      </c>
      <c r="C11" s="346">
        <v>14.63</v>
      </c>
      <c r="D11" s="346">
        <v>13.84</v>
      </c>
      <c r="E11" s="345">
        <v>15.1</v>
      </c>
      <c r="F11" s="345">
        <v>15.14</v>
      </c>
      <c r="G11" s="345">
        <v>14.43</v>
      </c>
      <c r="H11" s="345">
        <v>14.62</v>
      </c>
      <c r="I11" s="345">
        <v>14.47</v>
      </c>
      <c r="J11" s="345">
        <v>14.43</v>
      </c>
      <c r="K11" s="345">
        <v>14.47</v>
      </c>
      <c r="L11" s="345">
        <v>14.5</v>
      </c>
      <c r="M11" s="345">
        <v>14.4</v>
      </c>
      <c r="N11" s="345">
        <v>14.5</v>
      </c>
      <c r="O11" s="345">
        <v>14.6</v>
      </c>
      <c r="P11" s="345">
        <v>14.7</v>
      </c>
      <c r="Q11" s="272">
        <v>14.74</v>
      </c>
      <c r="R11" s="272">
        <v>14.75</v>
      </c>
      <c r="S11" s="272">
        <v>14.986</v>
      </c>
      <c r="T11" s="272">
        <v>15.485</v>
      </c>
      <c r="U11" s="272">
        <v>15.568</v>
      </c>
      <c r="V11" s="272">
        <v>15.92</v>
      </c>
      <c r="W11" s="272">
        <v>15.991</v>
      </c>
      <c r="X11" s="272">
        <v>16.496</v>
      </c>
      <c r="Y11" s="272">
        <f>16.349</f>
        <v>16.349</v>
      </c>
      <c r="Z11" s="272">
        <v>16.6</v>
      </c>
      <c r="AA11" s="272">
        <v>16.6</v>
      </c>
      <c r="AB11" s="272">
        <v>16.7</v>
      </c>
      <c r="AC11" s="272">
        <v>16.6</v>
      </c>
      <c r="AD11" s="272">
        <v>16.7</v>
      </c>
      <c r="AE11" s="272">
        <v>17.1</v>
      </c>
      <c r="AF11" s="222">
        <f t="shared" si="1"/>
        <v>2.3952095808383405</v>
      </c>
      <c r="AG11" s="221" t="s">
        <v>30</v>
      </c>
    </row>
    <row r="12" spans="2:33" ht="12.75" customHeight="1">
      <c r="B12" s="225" t="s">
        <v>15</v>
      </c>
      <c r="C12" s="239" t="s">
        <v>41</v>
      </c>
      <c r="D12" s="239" t="s">
        <v>41</v>
      </c>
      <c r="E12" s="227" t="s">
        <v>41</v>
      </c>
      <c r="F12" s="227" t="s">
        <v>41</v>
      </c>
      <c r="G12" s="227" t="s">
        <v>41</v>
      </c>
      <c r="H12" s="227" t="s">
        <v>41</v>
      </c>
      <c r="I12" s="227" t="s">
        <v>41</v>
      </c>
      <c r="J12" s="237">
        <f>0.0352*3</f>
        <v>0.1056</v>
      </c>
      <c r="K12" s="237">
        <f>0.0356*3</f>
        <v>0.1068</v>
      </c>
      <c r="L12" s="237">
        <f>0.0369*3</f>
        <v>0.1107</v>
      </c>
      <c r="M12" s="237">
        <f>0.0306*3</f>
        <v>0.09179999999999999</v>
      </c>
      <c r="N12" s="237">
        <f>0.0293*3</f>
        <v>0.0879</v>
      </c>
      <c r="O12" s="237">
        <f>0.0349*3</f>
        <v>0.1047</v>
      </c>
      <c r="P12" s="237">
        <f>0.0292*3</f>
        <v>0.0876</v>
      </c>
      <c r="Q12" s="237">
        <f>0.0308*3</f>
        <v>0.09240000000000001</v>
      </c>
      <c r="R12" s="237">
        <f>0.0311*3</f>
        <v>0.0933</v>
      </c>
      <c r="S12" s="237">
        <f>0.0278*3</f>
        <v>0.0834</v>
      </c>
      <c r="T12" s="237">
        <f>0.0251*3</f>
        <v>0.0753</v>
      </c>
      <c r="U12" s="237">
        <f>0.0262*3</f>
        <v>0.0786</v>
      </c>
      <c r="V12" s="237">
        <f>0.0264*3</f>
        <v>0.07919999999999999</v>
      </c>
      <c r="W12" s="310">
        <v>0.22281640000000003</v>
      </c>
      <c r="X12" s="237">
        <v>0.2223115</v>
      </c>
      <c r="Y12" s="237">
        <v>0.2050992</v>
      </c>
      <c r="Z12" s="237">
        <v>0.1896993</v>
      </c>
      <c r="AA12" s="237">
        <v>0.2561285</v>
      </c>
      <c r="AB12" s="237">
        <v>0.20434</v>
      </c>
      <c r="AC12" s="237">
        <v>0.1765499</v>
      </c>
      <c r="AD12" s="237">
        <v>0.168931</v>
      </c>
      <c r="AE12" s="237">
        <v>0.1304275</v>
      </c>
      <c r="AF12" s="236">
        <f t="shared" si="1"/>
        <v>-22.79244188455641</v>
      </c>
      <c r="AG12" s="225" t="s">
        <v>15</v>
      </c>
    </row>
    <row r="13" spans="1:33" s="235" customFormat="1" ht="12.75" customHeight="1">
      <c r="A13" s="240"/>
      <c r="B13" s="221" t="s">
        <v>33</v>
      </c>
      <c r="C13" s="344" t="s">
        <v>43</v>
      </c>
      <c r="D13" s="344" t="s">
        <v>43</v>
      </c>
      <c r="E13" s="343" t="s">
        <v>43</v>
      </c>
      <c r="F13" s="343" t="s">
        <v>43</v>
      </c>
      <c r="G13" s="343" t="s">
        <v>43</v>
      </c>
      <c r="H13" s="343" t="s">
        <v>43</v>
      </c>
      <c r="I13" s="343" t="s">
        <v>43</v>
      </c>
      <c r="J13" s="343" t="s">
        <v>43</v>
      </c>
      <c r="K13" s="343" t="s">
        <v>43</v>
      </c>
      <c r="L13" s="343" t="s">
        <v>43</v>
      </c>
      <c r="M13" s="343" t="s">
        <v>43</v>
      </c>
      <c r="N13" s="343" t="s">
        <v>43</v>
      </c>
      <c r="O13" s="343" t="s">
        <v>43</v>
      </c>
      <c r="P13" s="343" t="s">
        <v>43</v>
      </c>
      <c r="Q13" s="343" t="s">
        <v>43</v>
      </c>
      <c r="R13" s="343" t="s">
        <v>43</v>
      </c>
      <c r="S13" s="264">
        <v>0.05</v>
      </c>
      <c r="T13" s="264">
        <v>0.11</v>
      </c>
      <c r="U13" s="263">
        <f>0.06713+0.04598</f>
        <v>0.11310999999999999</v>
      </c>
      <c r="V13" s="263">
        <f>0.107+0.068</f>
        <v>0.175</v>
      </c>
      <c r="W13" s="263">
        <f>0.083+0.058</f>
        <v>0.14100000000000001</v>
      </c>
      <c r="X13" s="263">
        <f>0.079+0.053</f>
        <v>0.132</v>
      </c>
      <c r="Y13" s="263">
        <f>0.069+0.062</f>
        <v>0.131</v>
      </c>
      <c r="Z13" s="263">
        <f>0.073+0.065</f>
        <v>0.138</v>
      </c>
      <c r="AA13" s="263">
        <f>0.0711+0.0729</f>
        <v>0.14400000000000002</v>
      </c>
      <c r="AB13" s="263">
        <v>0.14982473</v>
      </c>
      <c r="AC13" s="263">
        <f>0.07929535+0.080777584</f>
        <v>0.160072934</v>
      </c>
      <c r="AD13" s="263">
        <f>0.085496552+0.09417113</f>
        <v>0.179667682</v>
      </c>
      <c r="AE13" s="263">
        <f>0.074323625+0.10922473</f>
        <v>0.183548355</v>
      </c>
      <c r="AF13" s="262">
        <f t="shared" si="1"/>
        <v>2.1599171074072103</v>
      </c>
      <c r="AG13" s="221" t="s">
        <v>33</v>
      </c>
    </row>
    <row r="14" spans="2:33" ht="12.75" customHeight="1">
      <c r="B14" s="225" t="s">
        <v>26</v>
      </c>
      <c r="C14" s="256">
        <v>0.63</v>
      </c>
      <c r="D14" s="256">
        <v>0.68</v>
      </c>
      <c r="E14" s="237">
        <v>0.83</v>
      </c>
      <c r="F14" s="237">
        <v>0.81</v>
      </c>
      <c r="G14" s="237">
        <v>0.79</v>
      </c>
      <c r="H14" s="237">
        <v>0.77</v>
      </c>
      <c r="I14" s="237">
        <v>0.72</v>
      </c>
      <c r="J14" s="237">
        <v>0.74</v>
      </c>
      <c r="K14" s="237">
        <v>0.74</v>
      </c>
      <c r="L14" s="237">
        <v>0.75</v>
      </c>
      <c r="M14" s="237">
        <v>0.8</v>
      </c>
      <c r="N14" s="237">
        <v>0.81</v>
      </c>
      <c r="O14" s="237">
        <v>1.19</v>
      </c>
      <c r="P14" s="237">
        <v>1.33</v>
      </c>
      <c r="Q14" s="237">
        <v>1.35</v>
      </c>
      <c r="R14" s="237">
        <v>1.4</v>
      </c>
      <c r="S14" s="237">
        <v>1.5</v>
      </c>
      <c r="T14" s="237">
        <v>1.5</v>
      </c>
      <c r="U14" s="237">
        <v>1.55</v>
      </c>
      <c r="V14" s="237">
        <v>1.6</v>
      </c>
      <c r="W14" s="237">
        <v>1.66</v>
      </c>
      <c r="X14" s="237">
        <v>1.671</v>
      </c>
      <c r="Y14" s="237">
        <v>1.692746498280652</v>
      </c>
      <c r="Z14" s="237">
        <f>AVERAGE(W14:Y14)</f>
        <v>1.6745821660935505</v>
      </c>
      <c r="AA14" s="237">
        <v>1.6693892905336882</v>
      </c>
      <c r="AB14" s="237">
        <v>1.6640104964628029</v>
      </c>
      <c r="AC14" s="237">
        <v>1.662268977961797</v>
      </c>
      <c r="AD14" s="237">
        <f>AC14*(1.007)</f>
        <v>1.6739048608075293</v>
      </c>
      <c r="AE14" s="237">
        <f>AD14*0.988</f>
        <v>1.653818002477839</v>
      </c>
      <c r="AF14" s="236">
        <f t="shared" si="1"/>
        <v>-1.1999999999999886</v>
      </c>
      <c r="AG14" s="225" t="s">
        <v>26</v>
      </c>
    </row>
    <row r="15" spans="2:33" ht="12.75" customHeight="1">
      <c r="B15" s="221" t="s">
        <v>31</v>
      </c>
      <c r="C15" s="266">
        <v>3.67</v>
      </c>
      <c r="D15" s="266">
        <v>3.88</v>
      </c>
      <c r="E15" s="263">
        <v>4.38</v>
      </c>
      <c r="F15" s="263">
        <v>4.3</v>
      </c>
      <c r="G15" s="263">
        <v>4.25</v>
      </c>
      <c r="H15" s="263">
        <v>4.2</v>
      </c>
      <c r="I15" s="263">
        <v>4.15</v>
      </c>
      <c r="J15" s="263">
        <v>4.25</v>
      </c>
      <c r="K15" s="263">
        <v>4.49</v>
      </c>
      <c r="L15" s="263">
        <v>4.57</v>
      </c>
      <c r="M15" s="263">
        <v>4.84</v>
      </c>
      <c r="N15" s="264">
        <v>5.06</v>
      </c>
      <c r="O15" s="264">
        <v>5.23</v>
      </c>
      <c r="P15" s="264">
        <v>5.34</v>
      </c>
      <c r="Q15" s="264">
        <v>5.5</v>
      </c>
      <c r="R15" s="264">
        <v>5.6</v>
      </c>
      <c r="S15" s="264">
        <v>5.8</v>
      </c>
      <c r="T15" s="264">
        <v>6</v>
      </c>
      <c r="U15" s="264">
        <v>6.2</v>
      </c>
      <c r="V15" s="264">
        <v>6.4</v>
      </c>
      <c r="W15" s="264">
        <v>6.5</v>
      </c>
      <c r="X15" s="264">
        <v>6.2725</v>
      </c>
      <c r="Y15" s="393">
        <v>7.588900000000001</v>
      </c>
      <c r="Z15" s="263">
        <v>7.6311</v>
      </c>
      <c r="AA15" s="263">
        <v>7.3169</v>
      </c>
      <c r="AB15" s="263">
        <v>6.969900000000002</v>
      </c>
      <c r="AC15" s="263">
        <v>7.152700000000001</v>
      </c>
      <c r="AD15" s="263">
        <v>7.201899999999999</v>
      </c>
      <c r="AE15" s="263">
        <v>7.486300000000001</v>
      </c>
      <c r="AF15" s="274">
        <f t="shared" si="1"/>
        <v>3.9489579138838593</v>
      </c>
      <c r="AG15" s="221" t="s">
        <v>31</v>
      </c>
    </row>
    <row r="16" spans="2:33" ht="12.75" customHeight="1">
      <c r="B16" s="225" t="s">
        <v>32</v>
      </c>
      <c r="C16" s="239">
        <v>6.5</v>
      </c>
      <c r="D16" s="342">
        <v>7.7</v>
      </c>
      <c r="E16" s="259">
        <v>10.476443368895263</v>
      </c>
      <c r="F16" s="227">
        <v>10.233383195251669</v>
      </c>
      <c r="G16" s="227">
        <v>10.414323650575252</v>
      </c>
      <c r="H16" s="227">
        <v>10.37918002638481</v>
      </c>
      <c r="I16" s="227">
        <v>10.453352069536807</v>
      </c>
      <c r="J16" s="227">
        <v>9.327340933853145</v>
      </c>
      <c r="K16" s="227">
        <v>9.818268042852674</v>
      </c>
      <c r="L16" s="227">
        <v>10.054374505661677</v>
      </c>
      <c r="M16" s="227">
        <v>10.502619818419767</v>
      </c>
      <c r="N16" s="227">
        <v>10.935597585658641</v>
      </c>
      <c r="O16" s="259">
        <v>11.633685254006512</v>
      </c>
      <c r="P16" s="227">
        <v>11.779086423126303</v>
      </c>
      <c r="Q16" s="227">
        <v>11.945869204302205</v>
      </c>
      <c r="R16" s="227">
        <v>11.762165248289488</v>
      </c>
      <c r="S16" s="227">
        <v>13.303413046515091</v>
      </c>
      <c r="T16" s="227">
        <v>13.620330458217733</v>
      </c>
      <c r="U16" s="227">
        <v>13.86912542912846</v>
      </c>
      <c r="V16" s="227">
        <v>13.942725725198631</v>
      </c>
      <c r="W16" s="227">
        <v>14.823026604643687</v>
      </c>
      <c r="X16" s="227">
        <v>14.65691476777499</v>
      </c>
      <c r="Y16" s="227">
        <v>15.03220290291087</v>
      </c>
      <c r="Z16" s="227">
        <v>15.301799934284682</v>
      </c>
      <c r="AA16" s="227">
        <v>15.595579058566956</v>
      </c>
      <c r="AB16" s="227">
        <v>15.748900135343224</v>
      </c>
      <c r="AC16" s="227">
        <v>16.142915646960294</v>
      </c>
      <c r="AD16" s="227">
        <v>16.154911826561836</v>
      </c>
      <c r="AE16" s="227">
        <v>16.338880964772578</v>
      </c>
      <c r="AF16" s="248">
        <f t="shared" si="1"/>
        <v>1.1387814442184805</v>
      </c>
      <c r="AG16" s="225" t="s">
        <v>32</v>
      </c>
    </row>
    <row r="17" spans="2:33" ht="12.75" customHeight="1">
      <c r="B17" s="221" t="s">
        <v>44</v>
      </c>
      <c r="C17" s="224"/>
      <c r="D17" s="341"/>
      <c r="E17" s="340"/>
      <c r="F17" s="223"/>
      <c r="G17" s="223"/>
      <c r="H17" s="242">
        <v>0.546627</v>
      </c>
      <c r="I17" s="242">
        <v>0.542601</v>
      </c>
      <c r="J17" s="242">
        <v>0.525396</v>
      </c>
      <c r="K17" s="242">
        <v>0.48687899999999995</v>
      </c>
      <c r="L17" s="242">
        <v>0.498093</v>
      </c>
      <c r="M17" s="242">
        <v>0.487896</v>
      </c>
      <c r="N17" s="242">
        <v>0.48726600000000003</v>
      </c>
      <c r="O17" s="242">
        <v>0.504171</v>
      </c>
      <c r="P17" s="242">
        <v>0.531744</v>
      </c>
      <c r="Q17" s="242">
        <v>0.5347379999999999</v>
      </c>
      <c r="R17" s="242">
        <v>0.550308</v>
      </c>
      <c r="S17" s="242">
        <v>0.529083</v>
      </c>
      <c r="T17" s="242">
        <v>0.533166</v>
      </c>
      <c r="U17" s="242">
        <v>0.5597730000000001</v>
      </c>
      <c r="V17" s="242">
        <v>0.66096</v>
      </c>
      <c r="W17" s="242">
        <v>0.623604</v>
      </c>
      <c r="X17" s="242">
        <v>0.57882</v>
      </c>
      <c r="Y17" s="242">
        <v>0.549357</v>
      </c>
      <c r="Z17" s="242">
        <v>0.519531</v>
      </c>
      <c r="AA17" s="242">
        <f>0.174139*3</f>
        <v>0.5224169999999999</v>
      </c>
      <c r="AB17" s="242">
        <f>0.177596*3</f>
        <v>0.532788</v>
      </c>
      <c r="AC17" s="242">
        <f>0.191899*3</f>
        <v>0.5756969999999999</v>
      </c>
      <c r="AD17" s="242">
        <f>0.199322*3</f>
        <v>0.597966</v>
      </c>
      <c r="AE17" s="242">
        <f>0.202995*3</f>
        <v>0.608985</v>
      </c>
      <c r="AF17" s="222">
        <f t="shared" si="1"/>
        <v>1.8427469120317852</v>
      </c>
      <c r="AG17" s="221" t="s">
        <v>44</v>
      </c>
    </row>
    <row r="18" spans="2:33" ht="12.75" customHeight="1">
      <c r="B18" s="225" t="s">
        <v>34</v>
      </c>
      <c r="C18" s="239">
        <v>2.21</v>
      </c>
      <c r="D18" s="239">
        <v>3.66</v>
      </c>
      <c r="E18" s="227">
        <f>2.58+1.629</f>
        <v>4.209</v>
      </c>
      <c r="F18" s="227">
        <v>5.328</v>
      </c>
      <c r="G18" s="227">
        <v>5.4</v>
      </c>
      <c r="H18" s="227">
        <v>5.5</v>
      </c>
      <c r="I18" s="227">
        <v>5.1</v>
      </c>
      <c r="J18" s="227">
        <f>4.038+1.1136</f>
        <v>5.1516</v>
      </c>
      <c r="K18" s="227">
        <v>5.282</v>
      </c>
      <c r="L18" s="227">
        <v>5.319</v>
      </c>
      <c r="M18" s="227">
        <v>5.251</v>
      </c>
      <c r="N18" s="227">
        <f>4.167+1.072</f>
        <v>5.239</v>
      </c>
      <c r="O18" s="227">
        <f>4.503+1.1057</f>
        <v>5.6087</v>
      </c>
      <c r="P18" s="227">
        <f>4.506+1.083</f>
        <v>5.589</v>
      </c>
      <c r="Q18" s="227">
        <f>4.843+1.042</f>
        <v>5.885</v>
      </c>
      <c r="R18" s="227">
        <f>4.935+1.05</f>
        <v>5.984999999999999</v>
      </c>
      <c r="S18" s="227">
        <f>4.954+1.051</f>
        <v>6.005</v>
      </c>
      <c r="T18" s="227">
        <f>4.982+1.053</f>
        <v>6.035</v>
      </c>
      <c r="U18" s="227">
        <f>5.204+1.075</f>
        <v>6.279</v>
      </c>
      <c r="V18" s="227">
        <f>5.637+1.088</f>
        <v>6.725</v>
      </c>
      <c r="W18" s="227">
        <f>5.777+1.107</f>
        <v>6.884</v>
      </c>
      <c r="X18" s="227">
        <f>1.108+5.84</f>
        <v>6.948</v>
      </c>
      <c r="Y18" s="227">
        <f>5.948+1.135</f>
        <v>7.083</v>
      </c>
      <c r="Z18" s="227">
        <f>5.849+1.246</f>
        <v>7.095000000000001</v>
      </c>
      <c r="AA18" s="227">
        <f>1.243+5.295</f>
        <v>6.538</v>
      </c>
      <c r="AB18" s="227">
        <f>1.228+5.356</f>
        <v>6.584</v>
      </c>
      <c r="AC18" s="227">
        <f>1.266+5.388</f>
        <v>6.654</v>
      </c>
      <c r="AD18" s="227">
        <f>1.305+5.527</f>
        <v>6.832</v>
      </c>
      <c r="AE18" s="227">
        <f>1.296+5.493</f>
        <v>6.789000000000001</v>
      </c>
      <c r="AF18" s="248">
        <f t="shared" si="1"/>
        <v>-0.629391100702577</v>
      </c>
      <c r="AG18" s="225" t="s">
        <v>34</v>
      </c>
    </row>
    <row r="19" spans="2:33" ht="12.75" customHeight="1">
      <c r="B19" s="221" t="s">
        <v>13</v>
      </c>
      <c r="C19" s="336" t="s">
        <v>43</v>
      </c>
      <c r="D19" s="336"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34" t="s">
        <v>43</v>
      </c>
      <c r="AG19" s="221" t="s">
        <v>13</v>
      </c>
    </row>
    <row r="20" spans="1:33" s="235" customFormat="1" ht="12.75" customHeight="1">
      <c r="A20" s="240"/>
      <c r="B20" s="225" t="s">
        <v>17</v>
      </c>
      <c r="C20" s="239" t="s">
        <v>41</v>
      </c>
      <c r="D20" s="239" t="s">
        <v>41</v>
      </c>
      <c r="E20" s="237">
        <f>0.2431*3</f>
        <v>0.7293000000000001</v>
      </c>
      <c r="F20" s="237">
        <f>0.2516*3</f>
        <v>0.7547999999999999</v>
      </c>
      <c r="G20" s="237">
        <f>0.1937*3</f>
        <v>0.5811000000000001</v>
      </c>
      <c r="H20" s="237">
        <f>0.1149*3</f>
        <v>0.3447</v>
      </c>
      <c r="I20" s="237">
        <f>0.1128*3</f>
        <v>0.3384</v>
      </c>
      <c r="J20" s="237">
        <f>0.1012*3</f>
        <v>0.3036</v>
      </c>
      <c r="K20" s="237">
        <f>0.0795*3</f>
        <v>0.2385</v>
      </c>
      <c r="L20" s="237">
        <f>0.0884*3</f>
        <v>0.2652</v>
      </c>
      <c r="M20" s="237">
        <f>0.098*3</f>
        <v>0.29400000000000004</v>
      </c>
      <c r="N20" s="237">
        <f>0.0938*3</f>
        <v>0.2814</v>
      </c>
      <c r="O20" s="237">
        <f>0.0889*3</f>
        <v>0.26670000000000005</v>
      </c>
      <c r="P20" s="237">
        <f>0.0869*3</f>
        <v>0.26070000000000004</v>
      </c>
      <c r="Q20" s="237">
        <f>0.0882*3</f>
        <v>0.2646</v>
      </c>
      <c r="R20" s="237">
        <f>0.0846*3</f>
        <v>0.25379999999999997</v>
      </c>
      <c r="S20" s="237">
        <f>0.0879*3</f>
        <v>0.26370000000000005</v>
      </c>
      <c r="T20" s="237">
        <f>0.0909*3</f>
        <v>0.2727</v>
      </c>
      <c r="U20" s="237">
        <f>0.0931*3</f>
        <v>0.2793</v>
      </c>
      <c r="V20" s="237">
        <f>0.0932*3</f>
        <v>0.2796</v>
      </c>
      <c r="W20" s="237">
        <f>0.0861*3</f>
        <v>0.2583</v>
      </c>
      <c r="X20" s="339">
        <f>0.057*3</f>
        <v>0.171</v>
      </c>
      <c r="Y20" s="237">
        <f>0.041*3</f>
        <v>0.123</v>
      </c>
      <c r="Z20" s="237">
        <f>0.0416*3</f>
        <v>0.1248</v>
      </c>
      <c r="AA20" s="237">
        <f>(30695+2777+7112)*3/1000000</f>
        <v>0.121752</v>
      </c>
      <c r="AB20" s="237">
        <v>0.132762</v>
      </c>
      <c r="AC20" s="237">
        <f>(34.69+3.718+6.582)*3/1000</f>
        <v>0.13497</v>
      </c>
      <c r="AD20" s="237">
        <f>(33.938+2.98+6.741)*3/1000</f>
        <v>0.130977</v>
      </c>
      <c r="AE20" s="237">
        <f>(32.341+1.986+6.848)*3/1000</f>
        <v>0.123525</v>
      </c>
      <c r="AF20" s="236">
        <f t="shared" si="1"/>
        <v>-5.689548546691412</v>
      </c>
      <c r="AG20" s="225" t="s">
        <v>17</v>
      </c>
    </row>
    <row r="21" spans="2:33" ht="12.75" customHeight="1">
      <c r="B21" s="221" t="s">
        <v>18</v>
      </c>
      <c r="C21" s="336" t="s">
        <v>43</v>
      </c>
      <c r="D21" s="336" t="s">
        <v>43</v>
      </c>
      <c r="E21" s="335" t="s">
        <v>43</v>
      </c>
      <c r="F21" s="335" t="s">
        <v>43</v>
      </c>
      <c r="G21" s="335" t="s">
        <v>43</v>
      </c>
      <c r="H21" s="335" t="s">
        <v>43</v>
      </c>
      <c r="I21" s="335" t="s">
        <v>43</v>
      </c>
      <c r="J21" s="335" t="s">
        <v>43</v>
      </c>
      <c r="K21" s="335" t="s">
        <v>43</v>
      </c>
      <c r="L21" s="335" t="s">
        <v>43</v>
      </c>
      <c r="M21" s="335" t="s">
        <v>43</v>
      </c>
      <c r="N21" s="335" t="s">
        <v>43</v>
      </c>
      <c r="O21" s="335" t="s">
        <v>43</v>
      </c>
      <c r="P21" s="335" t="s">
        <v>43</v>
      </c>
      <c r="Q21" s="335" t="s">
        <v>43</v>
      </c>
      <c r="R21" s="335" t="s">
        <v>43</v>
      </c>
      <c r="S21" s="335" t="s">
        <v>43</v>
      </c>
      <c r="T21" s="335" t="s">
        <v>43</v>
      </c>
      <c r="U21" s="335" t="s">
        <v>43</v>
      </c>
      <c r="V21" s="335" t="s">
        <v>43</v>
      </c>
      <c r="W21" s="335" t="s">
        <v>43</v>
      </c>
      <c r="X21" s="335" t="s">
        <v>43</v>
      </c>
      <c r="Y21" s="335" t="s">
        <v>43</v>
      </c>
      <c r="Z21" s="335" t="s">
        <v>43</v>
      </c>
      <c r="AA21" s="335" t="s">
        <v>43</v>
      </c>
      <c r="AB21" s="335" t="s">
        <v>43</v>
      </c>
      <c r="AC21" s="335" t="s">
        <v>43</v>
      </c>
      <c r="AD21" s="335" t="s">
        <v>43</v>
      </c>
      <c r="AE21" s="335" t="s">
        <v>43</v>
      </c>
      <c r="AF21" s="334" t="s">
        <v>43</v>
      </c>
      <c r="AG21" s="221" t="s">
        <v>18</v>
      </c>
    </row>
    <row r="22" spans="1:33" s="235" customFormat="1" ht="12.75" customHeight="1">
      <c r="A22" s="240"/>
      <c r="B22" s="225" t="s">
        <v>35</v>
      </c>
      <c r="C22" s="333" t="s">
        <v>43</v>
      </c>
      <c r="D22" s="333" t="s">
        <v>43</v>
      </c>
      <c r="E22" s="332" t="s">
        <v>43</v>
      </c>
      <c r="F22" s="332" t="s">
        <v>43</v>
      </c>
      <c r="G22" s="332" t="s">
        <v>43</v>
      </c>
      <c r="H22" s="332" t="s">
        <v>43</v>
      </c>
      <c r="I22" s="332" t="s">
        <v>43</v>
      </c>
      <c r="J22" s="332" t="s">
        <v>43</v>
      </c>
      <c r="K22" s="332" t="s">
        <v>43</v>
      </c>
      <c r="L22" s="332" t="s">
        <v>43</v>
      </c>
      <c r="M22" s="332" t="s">
        <v>43</v>
      </c>
      <c r="N22" s="332" t="s">
        <v>43</v>
      </c>
      <c r="O22" s="332" t="s">
        <v>43</v>
      </c>
      <c r="P22" s="332" t="s">
        <v>43</v>
      </c>
      <c r="Q22" s="332" t="s">
        <v>43</v>
      </c>
      <c r="R22" s="332" t="s">
        <v>43</v>
      </c>
      <c r="S22" s="332" t="s">
        <v>43</v>
      </c>
      <c r="T22" s="332" t="s">
        <v>43</v>
      </c>
      <c r="U22" s="332" t="s">
        <v>43</v>
      </c>
      <c r="V22" s="332" t="s">
        <v>43</v>
      </c>
      <c r="W22" s="332" t="s">
        <v>43</v>
      </c>
      <c r="X22" s="332" t="s">
        <v>43</v>
      </c>
      <c r="Y22" s="332" t="s">
        <v>43</v>
      </c>
      <c r="Z22" s="332" t="s">
        <v>43</v>
      </c>
      <c r="AA22" s="332" t="s">
        <v>43</v>
      </c>
      <c r="AB22" s="332" t="s">
        <v>43</v>
      </c>
      <c r="AC22" s="332" t="s">
        <v>43</v>
      </c>
      <c r="AD22" s="332" t="s">
        <v>43</v>
      </c>
      <c r="AE22" s="332" t="s">
        <v>43</v>
      </c>
      <c r="AF22" s="338" t="s">
        <v>43</v>
      </c>
      <c r="AG22" s="225" t="s">
        <v>35</v>
      </c>
    </row>
    <row r="23" spans="2:33" ht="12.75" customHeight="1">
      <c r="B23" s="221" t="s">
        <v>16</v>
      </c>
      <c r="C23" s="224" t="s">
        <v>41</v>
      </c>
      <c r="D23" s="224" t="s">
        <v>41</v>
      </c>
      <c r="E23" s="223" t="s">
        <v>41</v>
      </c>
      <c r="F23" s="223" t="s">
        <v>41</v>
      </c>
      <c r="G23" s="223" t="s">
        <v>41</v>
      </c>
      <c r="H23" s="223" t="s">
        <v>41</v>
      </c>
      <c r="I23" s="223" t="s">
        <v>41</v>
      </c>
      <c r="J23" s="242">
        <v>2.5</v>
      </c>
      <c r="K23" s="242">
        <v>2.5</v>
      </c>
      <c r="L23" s="242">
        <v>2.5</v>
      </c>
      <c r="M23" s="242">
        <v>2.55</v>
      </c>
      <c r="N23" s="223">
        <f>1.193+1.327</f>
        <v>2.52</v>
      </c>
      <c r="O23" s="223">
        <f>1.212+1.358</f>
        <v>2.5700000000000003</v>
      </c>
      <c r="P23" s="223">
        <f>1.214+1.357</f>
        <v>2.5709999999999997</v>
      </c>
      <c r="Q23" s="223">
        <f>1.201+1.335</f>
        <v>2.536</v>
      </c>
      <c r="R23" s="223">
        <f>1.193+1.323</f>
        <v>2.516</v>
      </c>
      <c r="S23" s="223">
        <f>1.169+1.251</f>
        <v>2.42</v>
      </c>
      <c r="T23" s="223">
        <f>1.144+1.209</f>
        <v>2.3529999999999998</v>
      </c>
      <c r="U23" s="223">
        <f>1.113+1.17</f>
        <v>2.283</v>
      </c>
      <c r="V23" s="223">
        <f>1.104+1.176</f>
        <v>2.2800000000000002</v>
      </c>
      <c r="W23" s="223">
        <f>1.095+1.24</f>
        <v>2.335</v>
      </c>
      <c r="X23" s="223">
        <f>1.185+1.339</f>
        <v>2.524</v>
      </c>
      <c r="Y23" s="223">
        <f>1.15+1.339</f>
        <v>2.489</v>
      </c>
      <c r="Z23" s="223">
        <f>1.161535+1.342378</f>
        <v>2.503913</v>
      </c>
      <c r="AA23" s="223">
        <v>2.4990787</v>
      </c>
      <c r="AB23" s="223">
        <v>2.5104894</v>
      </c>
      <c r="AC23" s="223">
        <f>2819469.2/1000000</f>
        <v>2.8194692000000003</v>
      </c>
      <c r="AD23" s="223">
        <f>(1162368.4+1784301)/1000000</f>
        <v>2.9466693999999998</v>
      </c>
      <c r="AE23" s="223">
        <f>(1232727.1+1829977)/1000000</f>
        <v>3.0627041</v>
      </c>
      <c r="AF23" s="222">
        <f t="shared" si="1"/>
        <v>3.9378255327862774</v>
      </c>
      <c r="AG23" s="221" t="s">
        <v>16</v>
      </c>
    </row>
    <row r="24" spans="1:33" s="235" customFormat="1" ht="12.75" customHeight="1">
      <c r="A24" s="240"/>
      <c r="B24" s="225" t="s">
        <v>19</v>
      </c>
      <c r="C24" s="333" t="s">
        <v>43</v>
      </c>
      <c r="D24" s="333"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30" t="s">
        <v>43</v>
      </c>
      <c r="AG24" s="225" t="s">
        <v>19</v>
      </c>
    </row>
    <row r="25" spans="2:33" ht="12.75" customHeight="1">
      <c r="B25" s="221" t="s">
        <v>27</v>
      </c>
      <c r="C25" s="224">
        <v>1.24</v>
      </c>
      <c r="D25" s="224">
        <v>1.35</v>
      </c>
      <c r="E25" s="223">
        <v>1.26</v>
      </c>
      <c r="F25" s="223">
        <v>1.29</v>
      </c>
      <c r="G25" s="223">
        <v>1.32</v>
      </c>
      <c r="H25" s="223">
        <v>1.34</v>
      </c>
      <c r="I25" s="223">
        <v>1.39</v>
      </c>
      <c r="J25" s="223">
        <v>1.38</v>
      </c>
      <c r="K25" s="223">
        <v>1.39</v>
      </c>
      <c r="L25" s="242">
        <v>1.4</v>
      </c>
      <c r="M25" s="242">
        <v>1.4</v>
      </c>
      <c r="N25" s="242">
        <v>1.42</v>
      </c>
      <c r="O25" s="418">
        <v>0.6692024025713582</v>
      </c>
      <c r="P25" s="242">
        <v>0.6847210123896893</v>
      </c>
      <c r="Q25" s="242">
        <v>0.6635320777721085</v>
      </c>
      <c r="R25" s="242">
        <v>0.6866486373608297</v>
      </c>
      <c r="S25" s="242">
        <v>0.7272619778268847</v>
      </c>
      <c r="T25" s="242">
        <v>0.7464064132044701</v>
      </c>
      <c r="U25" s="242">
        <v>0.7779999304545517</v>
      </c>
      <c r="V25" s="242">
        <v>0.7949860840723357</v>
      </c>
      <c r="W25" s="242">
        <v>0.825323264988066</v>
      </c>
      <c r="X25" s="242">
        <v>0.8248953383354507</v>
      </c>
      <c r="Y25" s="418">
        <v>0.8539250612298133</v>
      </c>
      <c r="Z25" s="242">
        <v>0.8899034590968964</v>
      </c>
      <c r="AA25" s="242">
        <v>0.816130470277351</v>
      </c>
      <c r="AB25" s="242">
        <v>0.8535595653837628</v>
      </c>
      <c r="AC25" s="242">
        <v>0.8532425379056862</v>
      </c>
      <c r="AD25" s="242">
        <v>0.9164456888616629</v>
      </c>
      <c r="AE25" s="411">
        <v>0.9254267438031503</v>
      </c>
      <c r="AF25" s="241">
        <f t="shared" si="1"/>
        <v>0.9799876905572944</v>
      </c>
      <c r="AG25" s="221" t="s">
        <v>27</v>
      </c>
    </row>
    <row r="26" spans="1:33" s="235" customFormat="1" ht="12.75" customHeight="1">
      <c r="A26" s="240"/>
      <c r="B26" s="225" t="s">
        <v>36</v>
      </c>
      <c r="C26" s="239">
        <v>1.5</v>
      </c>
      <c r="D26" s="239">
        <v>1.65</v>
      </c>
      <c r="E26" s="237">
        <v>4.244212898335107</v>
      </c>
      <c r="F26" s="237">
        <v>4.625125303965898</v>
      </c>
      <c r="G26" s="237">
        <v>4.720742575409969</v>
      </c>
      <c r="H26" s="237">
        <v>4.697141707164257</v>
      </c>
      <c r="I26" s="237">
        <v>4.89203012858048</v>
      </c>
      <c r="J26" s="237">
        <v>5.127203178238052</v>
      </c>
      <c r="K26" s="237">
        <v>5.5820940424240515</v>
      </c>
      <c r="L26" s="237">
        <v>5.6763765221457625</v>
      </c>
      <c r="M26" s="237">
        <v>5.770842162305629</v>
      </c>
      <c r="N26" s="237">
        <v>5.86549123511989</v>
      </c>
      <c r="O26" s="237">
        <v>5.9603240131662325</v>
      </c>
      <c r="P26" s="237">
        <v>6.055340769384238</v>
      </c>
      <c r="Q26" s="237">
        <v>6.150541777075853</v>
      </c>
      <c r="R26" s="237">
        <v>6.245927309905817</v>
      </c>
      <c r="S26" s="237">
        <v>6.34149764190213</v>
      </c>
      <c r="T26" s="237">
        <v>6.437253047456507</v>
      </c>
      <c r="U26" s="237">
        <v>6.533193801324818</v>
      </c>
      <c r="V26" s="237">
        <v>6.629320178627555</v>
      </c>
      <c r="W26" s="237">
        <v>6.725632454850284</v>
      </c>
      <c r="X26" s="237">
        <v>6.822130905844093</v>
      </c>
      <c r="Y26" s="237">
        <v>6.91881580782606</v>
      </c>
      <c r="Z26" s="237">
        <v>7.015687437379696</v>
      </c>
      <c r="AA26" s="237">
        <v>7.112746071455411</v>
      </c>
      <c r="AB26" s="237">
        <v>7.20999198737097</v>
      </c>
      <c r="AC26" s="237">
        <v>7.01005836298726</v>
      </c>
      <c r="AD26" s="237">
        <v>7.18204298832206</v>
      </c>
      <c r="AE26" s="237">
        <v>7.18533029297997</v>
      </c>
      <c r="AF26" s="236">
        <f t="shared" si="1"/>
        <v>0.04577116376572121</v>
      </c>
      <c r="AG26" s="225" t="s">
        <v>36</v>
      </c>
    </row>
    <row r="27" spans="2:33" ht="12.75" customHeight="1">
      <c r="B27" s="221" t="s">
        <v>20</v>
      </c>
      <c r="C27" s="224" t="s">
        <v>41</v>
      </c>
      <c r="D27" s="224" t="s">
        <v>41</v>
      </c>
      <c r="E27" s="223" t="s">
        <v>41</v>
      </c>
      <c r="F27" s="223" t="s">
        <v>41</v>
      </c>
      <c r="G27" s="223" t="s">
        <v>41</v>
      </c>
      <c r="H27" s="223" t="s">
        <v>41</v>
      </c>
      <c r="I27" s="223" t="s">
        <v>41</v>
      </c>
      <c r="J27" s="242">
        <v>5</v>
      </c>
      <c r="K27" s="242">
        <v>4.9</v>
      </c>
      <c r="L27" s="242">
        <v>4.85</v>
      </c>
      <c r="M27" s="242">
        <v>4.8</v>
      </c>
      <c r="N27" s="242">
        <v>4.75</v>
      </c>
      <c r="O27" s="242">
        <v>4.7</v>
      </c>
      <c r="P27" s="242">
        <v>4.65</v>
      </c>
      <c r="Q27" s="242">
        <v>4.62</v>
      </c>
      <c r="R27" s="242">
        <v>4.5</v>
      </c>
      <c r="S27" s="242">
        <v>4.5</v>
      </c>
      <c r="T27" s="242">
        <v>4.4</v>
      </c>
      <c r="U27" s="242">
        <v>4.45</v>
      </c>
      <c r="V27" s="242">
        <v>4.6</v>
      </c>
      <c r="W27" s="242">
        <v>4.6</v>
      </c>
      <c r="X27" s="242">
        <v>4.32</v>
      </c>
      <c r="Y27" s="242">
        <f>4.34</f>
        <v>4.34</v>
      </c>
      <c r="Z27" s="242">
        <v>4.403712781401456</v>
      </c>
      <c r="AA27" s="242">
        <v>4.392245206824666</v>
      </c>
      <c r="AB27" s="242">
        <f>AA27*(3620.9+113.1)/(3867.5+132.5)</f>
        <v>4.100160900570825</v>
      </c>
      <c r="AC27" s="242">
        <f>AB27*(3711.1+147.7)/(3620.9+113.1)</f>
        <v>4.237198951023754</v>
      </c>
      <c r="AD27" s="242">
        <f>AC27*((3672.2+171.3)/(3711.1+147.7))</f>
        <v>4.22039861310765</v>
      </c>
      <c r="AE27" s="242">
        <f>(3766.3+183.7)/(3672.2+171.3)*AD27</f>
        <v>4.337342141739358</v>
      </c>
      <c r="AF27" s="241">
        <f t="shared" si="1"/>
        <v>2.7709119292311755</v>
      </c>
      <c r="AG27" s="221" t="s">
        <v>20</v>
      </c>
    </row>
    <row r="28" spans="1:33" s="235" customFormat="1" ht="12.75" customHeight="1">
      <c r="A28" s="240"/>
      <c r="B28" s="225" t="s">
        <v>37</v>
      </c>
      <c r="C28" s="239">
        <v>0.93</v>
      </c>
      <c r="D28" s="239">
        <v>0.74</v>
      </c>
      <c r="E28" s="227">
        <v>0.67</v>
      </c>
      <c r="F28" s="227">
        <v>0.65</v>
      </c>
      <c r="G28" s="227">
        <v>0.63</v>
      </c>
      <c r="H28" s="227">
        <v>0.61</v>
      </c>
      <c r="I28" s="227">
        <v>0.58</v>
      </c>
      <c r="J28" s="227">
        <v>0.53</v>
      </c>
      <c r="K28" s="227">
        <v>0.54</v>
      </c>
      <c r="L28" s="227">
        <v>0.5</v>
      </c>
      <c r="M28" s="227">
        <v>0.5</v>
      </c>
      <c r="N28" s="227">
        <v>0.5</v>
      </c>
      <c r="O28" s="227">
        <v>0.53</v>
      </c>
      <c r="P28" s="227">
        <v>0.545</v>
      </c>
      <c r="Q28" s="227">
        <v>0.55</v>
      </c>
      <c r="R28" s="227">
        <v>0.77</v>
      </c>
      <c r="S28" s="227">
        <v>0.847</v>
      </c>
      <c r="T28" s="227">
        <f>0.80121+0.046506</f>
        <v>0.847716</v>
      </c>
      <c r="U28" s="227">
        <f>0.785327+0.202473</f>
        <v>0.9878</v>
      </c>
      <c r="V28" s="227">
        <f>0.803969+0.245921</f>
        <v>1.04989</v>
      </c>
      <c r="W28" s="227">
        <f>0.8354+0.259361</f>
        <v>1.094761</v>
      </c>
      <c r="X28" s="227">
        <f>0.829067+0.261117</f>
        <v>1.090184</v>
      </c>
      <c r="Y28" s="227">
        <f>0.866169+0.267064</f>
        <v>1.133233</v>
      </c>
      <c r="Z28" s="227">
        <v>1.148</v>
      </c>
      <c r="AA28" s="227">
        <f>0.745589+0.28248</f>
        <v>1.028069</v>
      </c>
      <c r="AB28" s="227">
        <f>0.655705+0.285591</f>
        <v>0.9412959999999999</v>
      </c>
      <c r="AC28" s="227">
        <f>0.650711+0.288136+0.027714</f>
        <v>0.966561</v>
      </c>
      <c r="AD28" s="227">
        <f>0.685636+0.29445+0.028566</f>
        <v>1.008652</v>
      </c>
      <c r="AE28" s="227">
        <f>0.735151+0.296076+0.030072</f>
        <v>1.061299</v>
      </c>
      <c r="AF28" s="248">
        <f t="shared" si="1"/>
        <v>5.2195405352886866</v>
      </c>
      <c r="AG28" s="225" t="s">
        <v>37</v>
      </c>
    </row>
    <row r="29" spans="2:33" ht="12.75" customHeight="1">
      <c r="B29" s="221" t="s">
        <v>21</v>
      </c>
      <c r="C29" s="224"/>
      <c r="D29" s="224"/>
      <c r="E29" s="223"/>
      <c r="F29" s="223"/>
      <c r="G29" s="223"/>
      <c r="H29" s="223"/>
      <c r="I29" s="223"/>
      <c r="J29" s="242">
        <v>6</v>
      </c>
      <c r="K29" s="242">
        <v>6</v>
      </c>
      <c r="L29" s="242">
        <v>6</v>
      </c>
      <c r="M29" s="242">
        <v>6</v>
      </c>
      <c r="N29" s="242">
        <v>6</v>
      </c>
      <c r="O29" s="242">
        <v>6</v>
      </c>
      <c r="P29" s="242">
        <v>6</v>
      </c>
      <c r="Q29" s="242">
        <v>6</v>
      </c>
      <c r="R29" s="223">
        <v>5.777215</v>
      </c>
      <c r="S29" s="223">
        <v>6.192045</v>
      </c>
      <c r="T29" s="223">
        <v>6.596908000000001</v>
      </c>
      <c r="U29" s="242">
        <v>6.8</v>
      </c>
      <c r="V29" s="242">
        <v>6.9</v>
      </c>
      <c r="W29" s="242">
        <v>7</v>
      </c>
      <c r="X29" s="242">
        <v>7.047</v>
      </c>
      <c r="Y29" s="242">
        <v>7.138710097776035</v>
      </c>
      <c r="Z29" s="242">
        <f>AVERAGE(W29:Y29)</f>
        <v>7.061903365925345</v>
      </c>
      <c r="AA29" s="242">
        <v>7.548372713565322</v>
      </c>
      <c r="AB29" s="242">
        <v>7.751718100556632</v>
      </c>
      <c r="AC29" s="242">
        <v>8</v>
      </c>
      <c r="AD29" s="242">
        <f>AC29*(1-0.047)</f>
        <v>7.624</v>
      </c>
      <c r="AE29" s="242">
        <f>AD29*(1.073)</f>
        <v>8.180551999999999</v>
      </c>
      <c r="AF29" s="241">
        <f t="shared" si="1"/>
        <v>7.299999999999997</v>
      </c>
      <c r="AG29" s="221" t="s">
        <v>21</v>
      </c>
    </row>
    <row r="30" spans="1:33" s="235" customFormat="1" ht="12.75" customHeight="1">
      <c r="A30" s="240"/>
      <c r="B30" s="225" t="s">
        <v>23</v>
      </c>
      <c r="C30" s="333" t="s">
        <v>43</v>
      </c>
      <c r="D30" s="333" t="s">
        <v>43</v>
      </c>
      <c r="E30" s="332" t="s">
        <v>43</v>
      </c>
      <c r="F30" s="332" t="s">
        <v>43</v>
      </c>
      <c r="G30" s="332" t="s">
        <v>43</v>
      </c>
      <c r="H30" s="332" t="s">
        <v>43</v>
      </c>
      <c r="I30" s="332" t="s">
        <v>43</v>
      </c>
      <c r="J30" s="332" t="s">
        <v>43</v>
      </c>
      <c r="K30" s="332" t="s">
        <v>43</v>
      </c>
      <c r="L30" s="332" t="s">
        <v>43</v>
      </c>
      <c r="M30" s="332" t="s">
        <v>43</v>
      </c>
      <c r="N30" s="332" t="s">
        <v>43</v>
      </c>
      <c r="O30" s="332" t="s">
        <v>43</v>
      </c>
      <c r="P30" s="332" t="s">
        <v>43</v>
      </c>
      <c r="Q30" s="332" t="s">
        <v>43</v>
      </c>
      <c r="R30" s="332" t="s">
        <v>43</v>
      </c>
      <c r="S30" s="332" t="s">
        <v>43</v>
      </c>
      <c r="T30" s="332" t="s">
        <v>43</v>
      </c>
      <c r="U30" s="332" t="s">
        <v>43</v>
      </c>
      <c r="V30" s="332" t="s">
        <v>43</v>
      </c>
      <c r="W30" s="332" t="s">
        <v>43</v>
      </c>
      <c r="X30" s="332" t="s">
        <v>43</v>
      </c>
      <c r="Y30" s="332" t="s">
        <v>43</v>
      </c>
      <c r="Z30" s="332" t="s">
        <v>43</v>
      </c>
      <c r="AA30" s="332" t="s">
        <v>43</v>
      </c>
      <c r="AB30" s="332" t="s">
        <v>43</v>
      </c>
      <c r="AC30" s="332" t="s">
        <v>43</v>
      </c>
      <c r="AD30" s="332" t="s">
        <v>43</v>
      </c>
      <c r="AE30" s="332" t="s">
        <v>43</v>
      </c>
      <c r="AF30" s="338" t="s">
        <v>43</v>
      </c>
      <c r="AG30" s="225" t="s">
        <v>23</v>
      </c>
    </row>
    <row r="31" spans="2:33" ht="12.75" customHeight="1">
      <c r="B31" s="221" t="s">
        <v>22</v>
      </c>
      <c r="C31" s="224"/>
      <c r="D31" s="224"/>
      <c r="E31" s="223"/>
      <c r="F31" s="223"/>
      <c r="G31" s="223"/>
      <c r="H31" s="223" t="s">
        <v>41</v>
      </c>
      <c r="I31" s="223" t="s">
        <v>41</v>
      </c>
      <c r="J31" s="242">
        <f>0.14623*3</f>
        <v>0.43869</v>
      </c>
      <c r="K31" s="242">
        <v>0.42</v>
      </c>
      <c r="L31" s="242">
        <v>0.4</v>
      </c>
      <c r="M31" s="242">
        <f>0.126488*3</f>
        <v>0.37946399999999997</v>
      </c>
      <c r="N31" s="242">
        <f>0.117714*3</f>
        <v>0.353142</v>
      </c>
      <c r="O31" s="242">
        <v>0.35</v>
      </c>
      <c r="P31" s="242">
        <v>0.35736278</v>
      </c>
      <c r="Q31" s="242">
        <v>0.35821163</v>
      </c>
      <c r="R31" s="242">
        <v>0.36700559999999993</v>
      </c>
      <c r="S31" s="242">
        <v>0.36223677000000004</v>
      </c>
      <c r="T31" s="242">
        <v>0.38621753999999997</v>
      </c>
      <c r="U31" s="242">
        <v>0.384426</v>
      </c>
      <c r="V31" s="242">
        <f>0.109705*3.6</f>
        <v>0.394938</v>
      </c>
      <c r="W31" s="242">
        <f>0.10708*3.43</f>
        <v>0.3672844</v>
      </c>
      <c r="X31" s="242">
        <v>0.2925259</v>
      </c>
      <c r="Y31" s="242">
        <v>0.2834431</v>
      </c>
      <c r="Z31" s="242">
        <f>2.81*0.109182</f>
        <v>0.30680142</v>
      </c>
      <c r="AA31" s="242">
        <f>0.098788*2.93</f>
        <v>0.28944884000000004</v>
      </c>
      <c r="AB31" s="242">
        <f>3.1*88.841/1000</f>
        <v>0.2754071</v>
      </c>
      <c r="AC31" s="242">
        <f>87.672*2.93/1000</f>
        <v>0.25687896</v>
      </c>
      <c r="AD31" s="242">
        <f>85.017*2.95/1000</f>
        <v>0.25080015</v>
      </c>
      <c r="AE31" s="242">
        <f>95.028*3.17/1000</f>
        <v>0.30123876</v>
      </c>
      <c r="AF31" s="241">
        <f t="shared" si="1"/>
        <v>20.111076488590612</v>
      </c>
      <c r="AG31" s="221" t="s">
        <v>22</v>
      </c>
    </row>
    <row r="32" spans="2:33" ht="12.75" customHeight="1">
      <c r="B32" s="225" t="s">
        <v>38</v>
      </c>
      <c r="C32" s="239">
        <v>0.1</v>
      </c>
      <c r="D32" s="239">
        <v>0.13</v>
      </c>
      <c r="E32" s="227">
        <v>0.35</v>
      </c>
      <c r="F32" s="227">
        <v>0.34</v>
      </c>
      <c r="G32" s="227">
        <v>0.345</v>
      </c>
      <c r="H32" s="227">
        <f>0.0993+0.2581</f>
        <v>0.3574</v>
      </c>
      <c r="I32" s="227">
        <v>0.37</v>
      </c>
      <c r="J32" s="227">
        <f>0.1091+0.2785</f>
        <v>0.38760000000000006</v>
      </c>
      <c r="K32" s="227">
        <v>0.4</v>
      </c>
      <c r="L32" s="227">
        <f>0.1162+0.3006</f>
        <v>0.41679999999999995</v>
      </c>
      <c r="M32" s="227">
        <v>0.439</v>
      </c>
      <c r="N32" s="227">
        <f>0.1205+0.3598</f>
        <v>0.4803</v>
      </c>
      <c r="O32" s="227">
        <f>0.118+0.379</f>
        <v>0.497</v>
      </c>
      <c r="P32" s="227">
        <f>0.1193+0.3853</f>
        <v>0.5045999999999999</v>
      </c>
      <c r="Q32" s="227">
        <f>0.1167+0.4008</f>
        <v>0.5175</v>
      </c>
      <c r="R32" s="227">
        <f>0.1182+0.4041</f>
        <v>0.5223</v>
      </c>
      <c r="S32" s="227">
        <f>0.119+0.404</f>
        <v>0.523</v>
      </c>
      <c r="T32" s="227">
        <f>0.117+0.409</f>
        <v>0.526</v>
      </c>
      <c r="U32" s="227">
        <f>0.11+0.414</f>
        <v>0.524</v>
      </c>
      <c r="V32" s="227">
        <f>0.11+0.41</f>
        <v>0.52</v>
      </c>
      <c r="W32" s="227">
        <f>0.112+0.42</f>
        <v>0.532</v>
      </c>
      <c r="X32" s="227">
        <v>0.532</v>
      </c>
      <c r="Y32" s="227">
        <f>0.113+0.417</f>
        <v>0.53</v>
      </c>
      <c r="Z32" s="227">
        <f>0.397+0.118</f>
        <v>0.515</v>
      </c>
      <c r="AA32" s="227">
        <f>0.401+0.125</f>
        <v>0.526</v>
      </c>
      <c r="AB32" s="227">
        <f>0.124+0.401</f>
        <v>0.525</v>
      </c>
      <c r="AC32" s="237">
        <f>(62.1+55.5)/(63.5+56.7)*AB32</f>
        <v>0.5136439267886855</v>
      </c>
      <c r="AD32" s="237">
        <f>(62.9+55.2)/(62.1+55.5)*AC32</f>
        <v>0.5158277870216306</v>
      </c>
      <c r="AE32" s="394">
        <f>(64.1+56.6)/(62.9+55.2)*AD32</f>
        <v>0.5271838602329451</v>
      </c>
      <c r="AF32" s="248">
        <f t="shared" si="1"/>
        <v>2.20152413209145</v>
      </c>
      <c r="AG32" s="225" t="s">
        <v>38</v>
      </c>
    </row>
    <row r="33" spans="2:33" ht="12.75" customHeight="1">
      <c r="B33" s="221" t="s">
        <v>39</v>
      </c>
      <c r="C33" s="224">
        <v>1.44</v>
      </c>
      <c r="D33" s="224">
        <v>1.97</v>
      </c>
      <c r="E33" s="223">
        <v>2.01</v>
      </c>
      <c r="F33" s="223">
        <v>1.93</v>
      </c>
      <c r="G33" s="223">
        <v>1.91</v>
      </c>
      <c r="H33" s="223">
        <v>1.91</v>
      </c>
      <c r="I33" s="223">
        <v>1.89</v>
      </c>
      <c r="J33" s="223">
        <v>1.94</v>
      </c>
      <c r="K33" s="258">
        <v>1.98</v>
      </c>
      <c r="L33" s="223">
        <f>1.496+0.375</f>
        <v>1.871</v>
      </c>
      <c r="M33" s="223">
        <f>1.505+0.374</f>
        <v>1.879</v>
      </c>
      <c r="N33" s="223">
        <f>1.526+0.38</f>
        <v>1.9060000000000001</v>
      </c>
      <c r="O33" s="223">
        <f>1.588+0.394</f>
        <v>1.9820000000000002</v>
      </c>
      <c r="P33" s="223">
        <f>1.581+0.41</f>
        <v>1.9909999999999999</v>
      </c>
      <c r="Q33" s="223">
        <f>1.578+0.415</f>
        <v>1.993</v>
      </c>
      <c r="R33" s="223">
        <f>1.558+0.436</f>
        <v>1.994</v>
      </c>
      <c r="S33" s="223">
        <f>1.556+0.462</f>
        <v>2.0180000000000002</v>
      </c>
      <c r="T33" s="223">
        <f>1.541+0.473</f>
        <v>2.014</v>
      </c>
      <c r="U33" s="223">
        <f>1.657+0.482</f>
        <v>2.1390000000000002</v>
      </c>
      <c r="V33" s="223">
        <f>1.69+0.514</f>
        <v>2.2039999999999997</v>
      </c>
      <c r="W33" s="223">
        <f>1.715+0.524</f>
        <v>2.239</v>
      </c>
      <c r="X33" s="223">
        <f>1.715+0.524</f>
        <v>2.239</v>
      </c>
      <c r="Y33" s="223">
        <f>1.731+0.549</f>
        <v>2.2800000000000002</v>
      </c>
      <c r="Z33" s="223">
        <f>1.725+0.615</f>
        <v>2.34</v>
      </c>
      <c r="AA33" s="223">
        <f>1.796+0.577</f>
        <v>2.373</v>
      </c>
      <c r="AB33" s="223">
        <v>2.449</v>
      </c>
      <c r="AC33" s="223">
        <v>2.443</v>
      </c>
      <c r="AD33" s="223">
        <f>1.892+0.6078</f>
        <v>2.4998</v>
      </c>
      <c r="AE33" s="223">
        <f>1.953+0.655</f>
        <v>2.608</v>
      </c>
      <c r="AF33" s="222">
        <f t="shared" si="1"/>
        <v>4.32834626770142</v>
      </c>
      <c r="AG33" s="221" t="s">
        <v>39</v>
      </c>
    </row>
    <row r="34" spans="2:33" ht="12.75" customHeight="1">
      <c r="B34" s="225" t="s">
        <v>28</v>
      </c>
      <c r="C34" s="239">
        <v>5.2</v>
      </c>
      <c r="D34" s="239">
        <v>4.3</v>
      </c>
      <c r="E34" s="227">
        <v>6.5</v>
      </c>
      <c r="F34" s="227">
        <v>6.24</v>
      </c>
      <c r="G34" s="227">
        <v>6.15</v>
      </c>
      <c r="H34" s="227">
        <v>6.24</v>
      </c>
      <c r="I34" s="227">
        <v>6.507</v>
      </c>
      <c r="J34" s="227">
        <v>6.811</v>
      </c>
      <c r="K34" s="227">
        <v>6.648</v>
      </c>
      <c r="L34" s="227">
        <v>6.998</v>
      </c>
      <c r="M34" s="227">
        <f>6.716+0.632</f>
        <v>7.348</v>
      </c>
      <c r="N34" s="227">
        <f>7.171+0.714</f>
        <v>7.885</v>
      </c>
      <c r="O34" s="227">
        <f>7.47+0.869</f>
        <v>8.339</v>
      </c>
      <c r="P34" s="227">
        <f>7.451+0.895</f>
        <v>8.346</v>
      </c>
      <c r="Q34" s="227">
        <f>7.367+0.961</f>
        <v>8.328</v>
      </c>
      <c r="R34" s="227">
        <f>7.34+0.96</f>
        <v>8.3</v>
      </c>
      <c r="S34" s="227">
        <f>7.606+1.079</f>
        <v>8.685</v>
      </c>
      <c r="T34" s="227">
        <f>7.586+1.1</f>
        <v>8.686</v>
      </c>
      <c r="U34" s="227">
        <f>7.947+1.177</f>
        <v>9.124</v>
      </c>
      <c r="V34" s="227">
        <f>8.352+1.1244</f>
        <v>9.4764</v>
      </c>
      <c r="W34" s="227">
        <f>8.646+1.251</f>
        <v>9.897</v>
      </c>
      <c r="X34" s="227">
        <f>8.457+1.271</f>
        <v>9.728000000000002</v>
      </c>
      <c r="Y34" s="227">
        <f>8.875+1.31</f>
        <v>10.185</v>
      </c>
      <c r="Z34" s="227">
        <f>9.519+0.8249*1.60934+0.0412</f>
        <v>10.887744566</v>
      </c>
      <c r="AA34" s="227">
        <f>10.099+0.0402+0.8822*1.609</f>
        <v>11.558659800000001</v>
      </c>
      <c r="AB34" s="337">
        <f>10.422+0.0406+1.4845</f>
        <v>11.9471</v>
      </c>
      <c r="AC34" s="337">
        <f>10.847+0.0414+1.6047+0.009</f>
        <v>12.502099999999999</v>
      </c>
      <c r="AD34" s="478">
        <f>11.457+0.0363+1.0703*1.609344+0.011</f>
        <v>13.2267808832</v>
      </c>
      <c r="AE34" s="478">
        <f>1.1462*1.609344+11.797+0.0353+0.012</f>
        <v>13.688930092800002</v>
      </c>
      <c r="AF34" s="248">
        <f t="shared" si="1"/>
        <v>3.494041472986069</v>
      </c>
      <c r="AG34" s="225" t="s">
        <v>28</v>
      </c>
    </row>
    <row r="35" spans="2:33" ht="12.75" customHeight="1">
      <c r="B35" s="244" t="s">
        <v>112</v>
      </c>
      <c r="C35" s="364" t="s">
        <v>43</v>
      </c>
      <c r="D35" s="364" t="s">
        <v>43</v>
      </c>
      <c r="E35" s="365" t="s">
        <v>43</v>
      </c>
      <c r="F35" s="365" t="s">
        <v>43</v>
      </c>
      <c r="G35" s="365" t="s">
        <v>43</v>
      </c>
      <c r="H35" s="365" t="s">
        <v>43</v>
      </c>
      <c r="I35" s="365" t="s">
        <v>43</v>
      </c>
      <c r="J35" s="365" t="s">
        <v>43</v>
      </c>
      <c r="K35" s="365" t="s">
        <v>43</v>
      </c>
      <c r="L35" s="365" t="s">
        <v>43</v>
      </c>
      <c r="M35" s="365" t="s">
        <v>43</v>
      </c>
      <c r="N35" s="365" t="s">
        <v>43</v>
      </c>
      <c r="O35" s="365" t="s">
        <v>43</v>
      </c>
      <c r="P35" s="365" t="s">
        <v>43</v>
      </c>
      <c r="Q35" s="365" t="s">
        <v>43</v>
      </c>
      <c r="R35" s="365" t="s">
        <v>43</v>
      </c>
      <c r="S35" s="365" t="s">
        <v>43</v>
      </c>
      <c r="T35" s="365" t="s">
        <v>43</v>
      </c>
      <c r="U35" s="365" t="s">
        <v>43</v>
      </c>
      <c r="V35" s="365" t="s">
        <v>43</v>
      </c>
      <c r="W35" s="365" t="s">
        <v>43</v>
      </c>
      <c r="X35" s="365" t="s">
        <v>43</v>
      </c>
      <c r="Y35" s="365" t="s">
        <v>43</v>
      </c>
      <c r="Z35" s="365" t="s">
        <v>43</v>
      </c>
      <c r="AA35" s="365" t="s">
        <v>43</v>
      </c>
      <c r="AB35" s="365" t="s">
        <v>43</v>
      </c>
      <c r="AC35" s="365" t="s">
        <v>43</v>
      </c>
      <c r="AD35" s="365" t="s">
        <v>43</v>
      </c>
      <c r="AE35" s="365" t="s">
        <v>43</v>
      </c>
      <c r="AF35" s="366" t="s">
        <v>43</v>
      </c>
      <c r="AG35" s="244" t="s">
        <v>112</v>
      </c>
    </row>
    <row r="36" spans="2:33" ht="12.75" customHeight="1">
      <c r="B36" s="225" t="s">
        <v>104</v>
      </c>
      <c r="C36" s="333" t="s">
        <v>43</v>
      </c>
      <c r="D36" s="333" t="s">
        <v>43</v>
      </c>
      <c r="E36" s="332" t="s">
        <v>43</v>
      </c>
      <c r="F36" s="332" t="s">
        <v>43</v>
      </c>
      <c r="G36" s="332" t="s">
        <v>43</v>
      </c>
      <c r="H36" s="331" t="s">
        <v>43</v>
      </c>
      <c r="I36" s="331" t="s">
        <v>43</v>
      </c>
      <c r="J36" s="331" t="s">
        <v>43</v>
      </c>
      <c r="K36" s="331" t="s">
        <v>43</v>
      </c>
      <c r="L36" s="331" t="s">
        <v>43</v>
      </c>
      <c r="M36" s="331" t="s">
        <v>43</v>
      </c>
      <c r="N36" s="331" t="s">
        <v>43</v>
      </c>
      <c r="O36" s="331" t="s">
        <v>43</v>
      </c>
      <c r="P36" s="331" t="s">
        <v>43</v>
      </c>
      <c r="Q36" s="331" t="s">
        <v>43</v>
      </c>
      <c r="R36" s="331" t="s">
        <v>43</v>
      </c>
      <c r="S36" s="331" t="s">
        <v>43</v>
      </c>
      <c r="T36" s="331" t="s">
        <v>43</v>
      </c>
      <c r="U36" s="331" t="s">
        <v>43</v>
      </c>
      <c r="V36" s="331" t="s">
        <v>43</v>
      </c>
      <c r="W36" s="331" t="s">
        <v>43</v>
      </c>
      <c r="X36" s="331" t="s">
        <v>43</v>
      </c>
      <c r="Y36" s="331" t="s">
        <v>43</v>
      </c>
      <c r="Z36" s="331" t="s">
        <v>43</v>
      </c>
      <c r="AA36" s="331" t="s">
        <v>43</v>
      </c>
      <c r="AB36" s="331" t="s">
        <v>43</v>
      </c>
      <c r="AC36" s="331" t="s">
        <v>43</v>
      </c>
      <c r="AD36" s="331" t="s">
        <v>43</v>
      </c>
      <c r="AE36" s="331" t="s">
        <v>43</v>
      </c>
      <c r="AF36" s="330" t="s">
        <v>43</v>
      </c>
      <c r="AG36" s="225" t="s">
        <v>104</v>
      </c>
    </row>
    <row r="37" spans="2:33" ht="12.75" customHeight="1">
      <c r="B37" s="221" t="s">
        <v>6</v>
      </c>
      <c r="C37" s="336" t="s">
        <v>43</v>
      </c>
      <c r="D37" s="336" t="s">
        <v>43</v>
      </c>
      <c r="E37" s="335" t="s">
        <v>43</v>
      </c>
      <c r="F37" s="335" t="s">
        <v>43</v>
      </c>
      <c r="G37" s="335" t="s">
        <v>43</v>
      </c>
      <c r="H37" s="335" t="s">
        <v>43</v>
      </c>
      <c r="I37" s="335" t="s">
        <v>43</v>
      </c>
      <c r="J37" s="335" t="s">
        <v>43</v>
      </c>
      <c r="K37" s="335" t="s">
        <v>43</v>
      </c>
      <c r="L37" s="335" t="s">
        <v>43</v>
      </c>
      <c r="M37" s="335" t="s">
        <v>43</v>
      </c>
      <c r="N37" s="335" t="s">
        <v>43</v>
      </c>
      <c r="O37" s="335" t="s">
        <v>43</v>
      </c>
      <c r="P37" s="335" t="s">
        <v>43</v>
      </c>
      <c r="Q37" s="335" t="s">
        <v>43</v>
      </c>
      <c r="R37" s="335" t="s">
        <v>43</v>
      </c>
      <c r="S37" s="335" t="s">
        <v>43</v>
      </c>
      <c r="T37" s="335" t="s">
        <v>43</v>
      </c>
      <c r="U37" s="335" t="s">
        <v>43</v>
      </c>
      <c r="V37" s="335" t="s">
        <v>43</v>
      </c>
      <c r="W37" s="335" t="s">
        <v>43</v>
      </c>
      <c r="X37" s="335" t="s">
        <v>43</v>
      </c>
      <c r="Y37" s="335" t="s">
        <v>43</v>
      </c>
      <c r="Z37" s="335" t="s">
        <v>43</v>
      </c>
      <c r="AA37" s="335" t="s">
        <v>43</v>
      </c>
      <c r="AB37" s="335" t="s">
        <v>43</v>
      </c>
      <c r="AC37" s="335" t="s">
        <v>43</v>
      </c>
      <c r="AD37" s="335" t="s">
        <v>43</v>
      </c>
      <c r="AE37" s="335" t="s">
        <v>43</v>
      </c>
      <c r="AF37" s="334" t="s">
        <v>43</v>
      </c>
      <c r="AG37" s="221" t="s">
        <v>6</v>
      </c>
    </row>
    <row r="38" spans="2:33" ht="12.75" customHeight="1">
      <c r="B38" s="225" t="s">
        <v>105</v>
      </c>
      <c r="C38" s="333"/>
      <c r="D38" s="333"/>
      <c r="E38" s="332"/>
      <c r="F38" s="332"/>
      <c r="G38" s="332"/>
      <c r="H38" s="332"/>
      <c r="I38" s="332"/>
      <c r="J38" s="332"/>
      <c r="K38" s="332"/>
      <c r="L38" s="332"/>
      <c r="M38" s="332"/>
      <c r="N38" s="332"/>
      <c r="O38" s="332"/>
      <c r="P38" s="332"/>
      <c r="Q38" s="332"/>
      <c r="R38" s="332"/>
      <c r="S38" s="332"/>
      <c r="T38" s="332"/>
      <c r="U38" s="332"/>
      <c r="V38" s="332"/>
      <c r="W38" s="331"/>
      <c r="X38" s="331"/>
      <c r="Y38" s="237">
        <v>0.43019567558770144</v>
      </c>
      <c r="Z38" s="237">
        <v>0.4353952054618243</v>
      </c>
      <c r="AA38" s="237">
        <v>0.45043191350042133</v>
      </c>
      <c r="AB38" s="237">
        <v>0.46382932349263195</v>
      </c>
      <c r="AC38" s="237">
        <v>0.4649097849213302</v>
      </c>
      <c r="AD38" s="237">
        <v>0.425869412746633</v>
      </c>
      <c r="AE38" s="237">
        <v>0.487535107614979</v>
      </c>
      <c r="AF38" s="236">
        <f>AE38/AD38*100-100</f>
        <v>14.479953953639168</v>
      </c>
      <c r="AG38" s="225" t="s">
        <v>105</v>
      </c>
    </row>
    <row r="39" spans="1:33" s="235" customFormat="1" ht="12.75" customHeight="1">
      <c r="A39" s="240"/>
      <c r="B39" s="229" t="s">
        <v>24</v>
      </c>
      <c r="C39" s="224"/>
      <c r="D39" s="224"/>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329"/>
      <c r="AG39" s="229" t="s">
        <v>24</v>
      </c>
    </row>
    <row r="40" spans="1:33" s="235" customFormat="1" ht="12.75" customHeight="1">
      <c r="A40" s="240"/>
      <c r="B40" s="225" t="s">
        <v>10</v>
      </c>
      <c r="C40" s="328" t="s">
        <v>43</v>
      </c>
      <c r="D40" s="328"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26" t="s">
        <v>43</v>
      </c>
      <c r="AG40" s="225" t="s">
        <v>10</v>
      </c>
    </row>
    <row r="41" spans="2:33" ht="12.75" customHeight="1">
      <c r="B41" s="221" t="s">
        <v>40</v>
      </c>
      <c r="C41" s="224">
        <v>0.428</v>
      </c>
      <c r="D41" s="224">
        <v>0.501</v>
      </c>
      <c r="E41" s="223">
        <v>0.419</v>
      </c>
      <c r="F41" s="258">
        <v>0.42</v>
      </c>
      <c r="G41" s="223">
        <v>0.349</v>
      </c>
      <c r="H41" s="223">
        <v>0.37</v>
      </c>
      <c r="I41" s="223">
        <v>0.375</v>
      </c>
      <c r="J41" s="223">
        <v>0.381</v>
      </c>
      <c r="K41" s="223">
        <v>0.419</v>
      </c>
      <c r="L41" s="223">
        <v>0.427</v>
      </c>
      <c r="M41" s="223">
        <v>0.469</v>
      </c>
      <c r="N41" s="223">
        <v>0.507</v>
      </c>
      <c r="O41" s="223">
        <v>0.496</v>
      </c>
      <c r="P41" s="223">
        <v>0.508</v>
      </c>
      <c r="Q41" s="223">
        <v>0.498</v>
      </c>
      <c r="R41" s="223">
        <v>0.476</v>
      </c>
      <c r="S41" s="223">
        <v>0.458</v>
      </c>
      <c r="T41" s="223">
        <v>0.518</v>
      </c>
      <c r="U41" s="223">
        <v>0.508</v>
      </c>
      <c r="V41" s="223">
        <v>0.535</v>
      </c>
      <c r="W41" s="223">
        <v>0.572</v>
      </c>
      <c r="X41" s="223">
        <v>0.588</v>
      </c>
      <c r="Y41" s="223">
        <v>0.62</v>
      </c>
      <c r="Z41" s="223">
        <v>0.631</v>
      </c>
      <c r="AA41" s="223">
        <v>0.660384</v>
      </c>
      <c r="AB41" s="223">
        <v>0.728919</v>
      </c>
      <c r="AC41" s="223">
        <v>0.752</v>
      </c>
      <c r="AD41" s="223">
        <v>0.809</v>
      </c>
      <c r="AE41" s="325">
        <v>0.883</v>
      </c>
      <c r="AF41" s="215">
        <f>AE41/AD41*100-100</f>
        <v>9.147095179233617</v>
      </c>
      <c r="AG41" s="221" t="s">
        <v>40</v>
      </c>
    </row>
    <row r="42" spans="1:33" s="235" customFormat="1" ht="12.75" customHeight="1">
      <c r="A42" s="240"/>
      <c r="B42" s="216" t="s">
        <v>11</v>
      </c>
      <c r="C42" s="220"/>
      <c r="D42" s="220"/>
      <c r="E42" s="218"/>
      <c r="F42" s="218"/>
      <c r="G42" s="218"/>
      <c r="H42" s="218"/>
      <c r="I42" s="218"/>
      <c r="J42" s="218">
        <v>1.5002</v>
      </c>
      <c r="K42" s="218">
        <v>1.5463</v>
      </c>
      <c r="L42" s="218">
        <v>1.5072</v>
      </c>
      <c r="M42" s="218">
        <v>1.3951</v>
      </c>
      <c r="N42" s="218">
        <v>1.403</v>
      </c>
      <c r="O42" s="218">
        <v>1.403</v>
      </c>
      <c r="P42" s="218">
        <v>1.4358</v>
      </c>
      <c r="Q42" s="218">
        <v>1.4478</v>
      </c>
      <c r="R42" s="218">
        <v>1.4394</v>
      </c>
      <c r="S42" s="249">
        <v>1.4695</v>
      </c>
      <c r="T42" s="218">
        <v>0.7815</v>
      </c>
      <c r="U42" s="218">
        <v>0.7864</v>
      </c>
      <c r="V42" s="218">
        <v>0.8226</v>
      </c>
      <c r="W42" s="218">
        <v>0.9031</v>
      </c>
      <c r="X42" s="218">
        <v>0.9346</v>
      </c>
      <c r="Y42" s="218">
        <v>0.9782</v>
      </c>
      <c r="Z42" s="218">
        <v>1.0706</v>
      </c>
      <c r="AA42" s="218">
        <v>1.1303</v>
      </c>
      <c r="AB42" s="218">
        <v>1.12</v>
      </c>
      <c r="AC42" s="385">
        <v>1.1303</v>
      </c>
      <c r="AD42" s="385">
        <v>1.1533</v>
      </c>
      <c r="AE42" s="435">
        <v>1.1751</v>
      </c>
      <c r="AF42" s="217">
        <f>AE42/AD42*100-100</f>
        <v>1.8902280412728771</v>
      </c>
      <c r="AG42" s="216" t="s">
        <v>11</v>
      </c>
    </row>
    <row r="43" spans="2:33" ht="12.75" customHeight="1">
      <c r="B43" s="522" t="s">
        <v>77</v>
      </c>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row>
    <row r="44" spans="1:33" s="235" customFormat="1" ht="12.75" customHeight="1">
      <c r="A44" s="240"/>
      <c r="B44" s="300" t="s">
        <v>7</v>
      </c>
      <c r="C44" s="324"/>
      <c r="D44" s="324"/>
      <c r="E44" s="324"/>
      <c r="F44" s="324"/>
      <c r="G44" s="324"/>
      <c r="H44" s="296"/>
      <c r="I44" s="324"/>
      <c r="J44" s="324"/>
      <c r="K44" s="324"/>
      <c r="L44" s="324"/>
      <c r="M44" s="324"/>
      <c r="N44" s="324"/>
      <c r="O44" s="324"/>
      <c r="P44" s="305"/>
      <c r="Q44" s="296"/>
      <c r="R44" s="297"/>
      <c r="S44" s="324"/>
      <c r="T44" s="324"/>
      <c r="U44" s="324"/>
      <c r="V44" s="324"/>
      <c r="W44" s="324"/>
      <c r="X44" s="324"/>
      <c r="Y44" s="324"/>
      <c r="Z44" s="324"/>
      <c r="AA44" s="324"/>
      <c r="AB44" s="324"/>
      <c r="AC44" s="324"/>
      <c r="AD44" s="324"/>
      <c r="AE44" s="324"/>
      <c r="AF44" s="296"/>
      <c r="AG44" s="324"/>
    </row>
    <row r="45" spans="2:32" ht="24.75" customHeight="1">
      <c r="B45" s="203" t="s">
        <v>133</v>
      </c>
      <c r="C45" s="203"/>
      <c r="D45" s="203"/>
      <c r="E45" s="203"/>
      <c r="F45" s="203"/>
      <c r="G45" s="203"/>
      <c r="H45" s="203"/>
      <c r="I45" s="203"/>
      <c r="J45" s="203"/>
      <c r="K45" s="203"/>
      <c r="L45" s="203"/>
      <c r="M45" s="203"/>
      <c r="N45" s="203"/>
      <c r="O45" s="203"/>
      <c r="P45" s="203"/>
      <c r="Q45" s="203"/>
      <c r="R45" s="203"/>
      <c r="S45" s="322"/>
      <c r="T45" s="322"/>
      <c r="U45" s="322"/>
      <c r="V45" s="322"/>
      <c r="W45" s="322"/>
      <c r="X45" s="322"/>
      <c r="Y45" s="322"/>
      <c r="Z45" s="322"/>
      <c r="AA45" s="322"/>
      <c r="AB45" s="322"/>
      <c r="AC45" s="322"/>
      <c r="AD45" s="322"/>
      <c r="AE45" s="322"/>
      <c r="AF45" s="322"/>
    </row>
    <row r="46" spans="2:33" ht="12.75" customHeight="1">
      <c r="B46" s="202" t="s">
        <v>120</v>
      </c>
      <c r="N46" s="323"/>
      <c r="O46" s="323"/>
      <c r="P46" s="323"/>
      <c r="Q46" s="323"/>
      <c r="R46" s="323"/>
      <c r="S46" s="323"/>
      <c r="T46" s="415"/>
      <c r="U46" s="415"/>
      <c r="V46" s="415"/>
      <c r="W46" s="415"/>
      <c r="X46" s="415"/>
      <c r="Y46" s="415"/>
      <c r="Z46" s="415"/>
      <c r="AA46" s="415"/>
      <c r="AB46" s="415"/>
      <c r="AC46" s="415"/>
      <c r="AD46" s="415"/>
      <c r="AE46" s="415"/>
      <c r="AF46" s="415"/>
      <c r="AG46" s="415"/>
    </row>
    <row r="47" spans="2:32" ht="12.75" customHeight="1">
      <c r="B47" s="202" t="s">
        <v>121</v>
      </c>
      <c r="C47" s="203"/>
      <c r="D47" s="203"/>
      <c r="E47" s="203"/>
      <c r="F47" s="203"/>
      <c r="G47" s="203"/>
      <c r="H47" s="203"/>
      <c r="I47" s="203"/>
      <c r="J47" s="198"/>
      <c r="K47" s="198"/>
      <c r="L47" s="198"/>
      <c r="M47" s="198"/>
      <c r="N47" s="198"/>
      <c r="O47" s="198"/>
      <c r="P47" s="203"/>
      <c r="Q47" s="203"/>
      <c r="R47" s="203"/>
      <c r="S47" s="321"/>
      <c r="T47" s="321"/>
      <c r="U47" s="321"/>
      <c r="V47" s="321"/>
      <c r="W47" s="321"/>
      <c r="X47" s="321"/>
      <c r="Y47" s="321"/>
      <c r="Z47" s="321"/>
      <c r="AA47" s="361"/>
      <c r="AB47" s="321"/>
      <c r="AC47" s="321"/>
      <c r="AD47" s="321"/>
      <c r="AE47" s="321"/>
      <c r="AF47" s="321"/>
    </row>
    <row r="48" spans="2:32" ht="12.75" customHeight="1">
      <c r="B48" s="203" t="s">
        <v>119</v>
      </c>
      <c r="V48" s="321"/>
      <c r="W48" s="321"/>
      <c r="X48" s="321"/>
      <c r="Y48" s="321"/>
      <c r="Z48" s="321"/>
      <c r="AA48" s="361"/>
      <c r="AB48" s="321"/>
      <c r="AC48" s="321"/>
      <c r="AD48" s="321"/>
      <c r="AE48" s="321"/>
      <c r="AF48" s="321"/>
    </row>
    <row r="49" spans="2:32" s="199" customFormat="1" ht="12.75" customHeight="1">
      <c r="B49" s="257" t="s">
        <v>123</v>
      </c>
      <c r="V49" s="321"/>
      <c r="W49" s="321"/>
      <c r="X49" s="321"/>
      <c r="Y49" s="321"/>
      <c r="Z49" s="321"/>
      <c r="AA49" s="361"/>
      <c r="AB49" s="321"/>
      <c r="AC49" s="321"/>
      <c r="AD49" s="321"/>
      <c r="AE49" s="321"/>
      <c r="AF49" s="321"/>
    </row>
    <row r="50" spans="2:26" s="199" customFormat="1" ht="12.75" customHeight="1">
      <c r="B50" s="257" t="s">
        <v>129</v>
      </c>
      <c r="V50" s="321"/>
      <c r="W50" s="321"/>
      <c r="X50" s="321"/>
      <c r="Y50" s="321"/>
      <c r="Z50" s="321"/>
    </row>
    <row r="51" spans="22:26" s="199" customFormat="1" ht="11.25">
      <c r="V51" s="321"/>
      <c r="W51" s="321"/>
      <c r="X51" s="321"/>
      <c r="Y51" s="321"/>
      <c r="Z51" s="321"/>
    </row>
    <row r="52" spans="22:26" s="199" customFormat="1" ht="11.25">
      <c r="V52" s="321"/>
      <c r="W52" s="321"/>
      <c r="X52" s="321"/>
      <c r="Y52" s="321"/>
      <c r="Z52" s="321"/>
    </row>
    <row r="53" spans="22:26" s="199" customFormat="1" ht="11.25">
      <c r="V53" s="321"/>
      <c r="W53" s="321"/>
      <c r="X53" s="321"/>
      <c r="Y53" s="321"/>
      <c r="Z53" s="321"/>
    </row>
    <row r="54" spans="22:26" s="199" customFormat="1" ht="12.75" customHeight="1">
      <c r="V54" s="321"/>
      <c r="W54" s="321"/>
      <c r="X54" s="321"/>
      <c r="Y54" s="321"/>
      <c r="Z54" s="321"/>
    </row>
    <row r="55" s="199" customFormat="1" ht="11.25"/>
    <row r="56" spans="19:26" s="199" customFormat="1" ht="11.25">
      <c r="S56" s="392"/>
      <c r="T56" s="392"/>
      <c r="U56" s="392"/>
      <c r="V56" s="392"/>
      <c r="W56" s="392"/>
      <c r="X56" s="392"/>
      <c r="Y56" s="392"/>
      <c r="Z56" s="392"/>
    </row>
    <row r="57" spans="19:26" s="199" customFormat="1" ht="11.25">
      <c r="S57" s="392"/>
      <c r="T57" s="392"/>
      <c r="U57" s="392"/>
      <c r="V57" s="392"/>
      <c r="W57" s="392"/>
      <c r="X57" s="392"/>
      <c r="Y57" s="392"/>
      <c r="Z57" s="392"/>
    </row>
    <row r="58" spans="19:26" s="199" customFormat="1" ht="11.25">
      <c r="S58" s="392"/>
      <c r="T58" s="392"/>
      <c r="U58" s="392"/>
      <c r="V58" s="392"/>
      <c r="W58" s="392"/>
      <c r="X58" s="392"/>
      <c r="Y58" s="392"/>
      <c r="Z58" s="392"/>
    </row>
    <row r="59" spans="19:26" s="199" customFormat="1" ht="11.25">
      <c r="S59" s="392"/>
      <c r="T59" s="392"/>
      <c r="U59" s="392"/>
      <c r="V59" s="392"/>
      <c r="W59" s="392"/>
      <c r="X59" s="392"/>
      <c r="Y59" s="392"/>
      <c r="Z59" s="392"/>
    </row>
    <row r="60" spans="19:26" s="199" customFormat="1" ht="11.25">
      <c r="S60" s="392"/>
      <c r="T60" s="392"/>
      <c r="U60" s="392"/>
      <c r="V60" s="392"/>
      <c r="W60" s="392"/>
      <c r="X60" s="392"/>
      <c r="Y60" s="392"/>
      <c r="Z60" s="392"/>
    </row>
    <row r="61" spans="19:26" s="199" customFormat="1" ht="11.25">
      <c r="S61" s="392"/>
      <c r="T61" s="392"/>
      <c r="U61" s="392"/>
      <c r="V61" s="392"/>
      <c r="W61" s="392"/>
      <c r="X61" s="392"/>
      <c r="Y61" s="392"/>
      <c r="Z61" s="392"/>
    </row>
    <row r="62" spans="19:26" s="199" customFormat="1" ht="11.25">
      <c r="S62" s="392"/>
      <c r="T62" s="392"/>
      <c r="U62" s="392"/>
      <c r="V62" s="392"/>
      <c r="W62" s="392"/>
      <c r="X62" s="392"/>
      <c r="Y62" s="392"/>
      <c r="Z62" s="392"/>
    </row>
    <row r="63" spans="19:26" s="199" customFormat="1" ht="11.25">
      <c r="S63" s="392"/>
      <c r="T63" s="392"/>
      <c r="U63" s="392"/>
      <c r="V63" s="392"/>
      <c r="W63" s="392"/>
      <c r="X63" s="392"/>
      <c r="Y63" s="392"/>
      <c r="Z63" s="392"/>
    </row>
    <row r="64" spans="19:26" s="199" customFormat="1" ht="11.25">
      <c r="S64" s="392"/>
      <c r="T64" s="392"/>
      <c r="U64" s="392"/>
      <c r="V64" s="392"/>
      <c r="W64" s="392"/>
      <c r="X64" s="392"/>
      <c r="Y64" s="392"/>
      <c r="Z64" s="392"/>
    </row>
    <row r="65" spans="19:25" s="199" customFormat="1" ht="11.25">
      <c r="S65" s="392"/>
      <c r="T65" s="392"/>
      <c r="U65" s="392"/>
      <c r="V65" s="392"/>
      <c r="W65" s="392"/>
      <c r="X65" s="392"/>
      <c r="Y65" s="392"/>
    </row>
    <row r="66" spans="19:25" ht="11.25">
      <c r="S66" s="392"/>
      <c r="T66" s="392"/>
      <c r="U66" s="392"/>
      <c r="V66" s="392"/>
      <c r="W66" s="392"/>
      <c r="X66" s="392"/>
      <c r="Y66" s="392"/>
    </row>
    <row r="67" spans="19:25" ht="11.25">
      <c r="S67" s="392"/>
      <c r="T67" s="392"/>
      <c r="U67" s="392"/>
      <c r="V67" s="392"/>
      <c r="W67" s="392"/>
      <c r="X67" s="392"/>
      <c r="Y67" s="392"/>
    </row>
    <row r="68" spans="19:25" ht="11.25">
      <c r="S68" s="392"/>
      <c r="T68" s="392"/>
      <c r="U68" s="392"/>
      <c r="V68" s="392"/>
      <c r="W68" s="392"/>
      <c r="X68" s="392"/>
      <c r="Y68" s="392"/>
    </row>
    <row r="69" spans="19:25" ht="11.25">
      <c r="S69" s="392"/>
      <c r="T69" s="392"/>
      <c r="U69" s="392"/>
      <c r="V69" s="392"/>
      <c r="W69" s="392"/>
      <c r="X69" s="392"/>
      <c r="Y69" s="392"/>
    </row>
    <row r="70" spans="19:25" ht="11.25">
      <c r="S70" s="392"/>
      <c r="T70" s="392"/>
      <c r="U70" s="392"/>
      <c r="V70" s="392"/>
      <c r="W70" s="392"/>
      <c r="X70" s="392"/>
      <c r="Y70" s="392"/>
    </row>
  </sheetData>
  <sheetProtection/>
  <mergeCells count="2">
    <mergeCell ref="B2:AG2"/>
    <mergeCell ref="B43:AG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L47"/>
  <sheetViews>
    <sheetView tabSelected="1" zoomScalePageLayoutView="0" workbookViewId="0" topLeftCell="A19">
      <selection activeCell="Q46" sqref="Q46"/>
    </sheetView>
  </sheetViews>
  <sheetFormatPr defaultColWidth="9.140625" defaultRowHeight="12.75"/>
  <cols>
    <col min="1" max="1" width="2.7109375" style="199" customWidth="1"/>
    <col min="2" max="2" width="4.00390625" style="199" customWidth="1"/>
    <col min="3" max="20" width="6.7109375" style="199" customWidth="1"/>
    <col min="21" max="31" width="7.28125" style="199" customWidth="1"/>
    <col min="32" max="36" width="9.00390625" style="199" customWidth="1"/>
    <col min="37" max="37" width="6.00390625" style="199" customWidth="1"/>
    <col min="38" max="38" width="5.421875" style="199" customWidth="1"/>
    <col min="39" max="16384" width="9.140625" style="199" customWidth="1"/>
  </cols>
  <sheetData>
    <row r="1" spans="2:38" ht="14.25" customHeight="1">
      <c r="B1" s="291"/>
      <c r="C1" s="290"/>
      <c r="D1" s="290"/>
      <c r="E1" s="290"/>
      <c r="F1" s="290"/>
      <c r="G1" s="290"/>
      <c r="H1" s="290"/>
      <c r="I1" s="290"/>
      <c r="J1" s="290"/>
      <c r="K1" s="290"/>
      <c r="L1" s="290"/>
      <c r="M1" s="290"/>
      <c r="N1" s="290"/>
      <c r="O1" s="290"/>
      <c r="P1" s="290"/>
      <c r="Q1" s="360"/>
      <c r="U1" s="288"/>
      <c r="V1" s="288"/>
      <c r="W1" s="288"/>
      <c r="X1" s="288"/>
      <c r="Y1" s="288"/>
      <c r="Z1" s="288"/>
      <c r="AA1" s="288"/>
      <c r="AB1" s="288"/>
      <c r="AC1" s="288"/>
      <c r="AD1" s="288"/>
      <c r="AE1" s="288"/>
      <c r="AF1" s="288"/>
      <c r="AG1" s="288"/>
      <c r="AH1" s="288"/>
      <c r="AI1" s="288"/>
      <c r="AJ1" s="288"/>
      <c r="AL1" s="288" t="s">
        <v>91</v>
      </c>
    </row>
    <row r="2" spans="2:38" s="203" customFormat="1" ht="30" customHeight="1">
      <c r="B2" s="523" t="s">
        <v>47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row>
    <row r="3" spans="3:38" ht="8.25" customHeight="1">
      <c r="C3" s="286"/>
      <c r="D3" s="286"/>
      <c r="E3" s="286"/>
      <c r="F3" s="286"/>
      <c r="G3" s="286"/>
      <c r="H3" s="286"/>
      <c r="I3" s="286"/>
      <c r="J3" s="286"/>
      <c r="K3" s="286"/>
      <c r="L3" s="286"/>
      <c r="M3" s="286"/>
      <c r="N3" s="286"/>
      <c r="O3" s="286"/>
      <c r="P3" s="286"/>
      <c r="Q3" s="286"/>
      <c r="R3" s="286"/>
      <c r="Y3" s="286"/>
      <c r="Z3" s="286"/>
      <c r="AA3" s="286"/>
      <c r="AB3" s="286"/>
      <c r="AE3" s="286" t="s">
        <v>106</v>
      </c>
      <c r="AF3" s="286"/>
      <c r="AG3" s="286"/>
      <c r="AH3" s="286"/>
      <c r="AI3" s="286"/>
      <c r="AJ3" s="286"/>
      <c r="AK3" s="285"/>
      <c r="AL3" s="286"/>
    </row>
    <row r="4" spans="2:38" ht="24.7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359"/>
      <c r="AG4" s="359"/>
      <c r="AH4" s="359"/>
      <c r="AI4" s="359"/>
      <c r="AJ4" s="359" t="s">
        <v>111</v>
      </c>
      <c r="AK4" s="281" t="s">
        <v>130</v>
      </c>
      <c r="AL4" s="318"/>
    </row>
    <row r="5" spans="2:38" ht="9.75" customHeight="1">
      <c r="B5" s="280"/>
      <c r="C5" s="279"/>
      <c r="D5" s="279"/>
      <c r="E5" s="278"/>
      <c r="F5" s="278"/>
      <c r="G5" s="278"/>
      <c r="H5" s="278"/>
      <c r="I5" s="278"/>
      <c r="J5" s="278"/>
      <c r="K5" s="278"/>
      <c r="L5" s="278"/>
      <c r="M5" s="278"/>
      <c r="N5" s="278"/>
      <c r="O5" s="278"/>
      <c r="P5" s="278"/>
      <c r="Q5" s="278"/>
      <c r="R5" s="278"/>
      <c r="S5" s="278"/>
      <c r="T5" s="278"/>
      <c r="U5" s="278"/>
      <c r="V5" s="278"/>
      <c r="W5" s="278"/>
      <c r="X5" s="278"/>
      <c r="Y5" s="278"/>
      <c r="Z5" s="278"/>
      <c r="AA5" s="277"/>
      <c r="AB5" s="277"/>
      <c r="AC5" s="277"/>
      <c r="AD5" s="277"/>
      <c r="AE5" s="277"/>
      <c r="AF5" s="358">
        <v>2012</v>
      </c>
      <c r="AG5" s="358">
        <v>2013</v>
      </c>
      <c r="AH5" s="397">
        <v>2014</v>
      </c>
      <c r="AI5" s="397">
        <v>2015</v>
      </c>
      <c r="AJ5" s="397">
        <v>2016</v>
      </c>
      <c r="AK5" s="319" t="s">
        <v>42</v>
      </c>
      <c r="AL5" s="318"/>
    </row>
    <row r="6" spans="2:38" ht="12.75" customHeight="1">
      <c r="B6" s="440" t="s">
        <v>113</v>
      </c>
      <c r="C6" s="446">
        <f>20.5+SUM(C7:C34)</f>
        <v>330.167</v>
      </c>
      <c r="D6" s="446">
        <f>18+SUM(D7:D34)</f>
        <v>369.59900000000005</v>
      </c>
      <c r="E6" s="441">
        <f aca="true" t="shared" si="0" ref="E6:AE6">SUM(E7:E34)</f>
        <v>405.3929999999999</v>
      </c>
      <c r="F6" s="442">
        <f t="shared" si="0"/>
        <v>388.124</v>
      </c>
      <c r="G6" s="443">
        <f t="shared" si="0"/>
        <v>376.6450000000001</v>
      </c>
      <c r="H6" s="443">
        <f t="shared" si="0"/>
        <v>351.421</v>
      </c>
      <c r="I6" s="443">
        <f t="shared" si="0"/>
        <v>344.63</v>
      </c>
      <c r="J6" s="443">
        <f t="shared" si="0"/>
        <v>350.33950628200006</v>
      </c>
      <c r="K6" s="443">
        <f t="shared" si="0"/>
        <v>355.49099858700015</v>
      </c>
      <c r="L6" s="443">
        <f t="shared" si="0"/>
        <v>355.7339599489999</v>
      </c>
      <c r="M6" s="443">
        <f t="shared" si="0"/>
        <v>355.9891632940001</v>
      </c>
      <c r="N6" s="443">
        <f t="shared" si="0"/>
        <v>363.16852778799995</v>
      </c>
      <c r="O6" s="443">
        <f t="shared" si="0"/>
        <v>371.5087931639082</v>
      </c>
      <c r="P6" s="443">
        <f t="shared" si="0"/>
        <v>373.59388607944146</v>
      </c>
      <c r="Q6" s="443">
        <f t="shared" si="0"/>
        <v>366.12848532880463</v>
      </c>
      <c r="R6" s="443">
        <f t="shared" si="0"/>
        <v>362.43931435149534</v>
      </c>
      <c r="S6" s="443">
        <f t="shared" si="0"/>
        <v>369.135539779</v>
      </c>
      <c r="T6" s="443">
        <f t="shared" si="0"/>
        <v>378.1475049220001</v>
      </c>
      <c r="U6" s="443">
        <f t="shared" si="0"/>
        <v>390.15189861600004</v>
      </c>
      <c r="V6" s="443">
        <f t="shared" si="0"/>
        <v>397.223456999</v>
      </c>
      <c r="W6" s="443">
        <f t="shared" si="0"/>
        <v>412.72694044400004</v>
      </c>
      <c r="X6" s="443">
        <f t="shared" si="0"/>
        <v>405.3274183389171</v>
      </c>
      <c r="Y6" s="443">
        <f t="shared" si="0"/>
        <v>407.3195677458399</v>
      </c>
      <c r="Z6" s="443">
        <f t="shared" si="0"/>
        <v>415.54388275838005</v>
      </c>
      <c r="AA6" s="443">
        <f t="shared" si="0"/>
        <v>421.05242182606406</v>
      </c>
      <c r="AB6" s="443">
        <f t="shared" si="0"/>
        <v>426.7686075116793</v>
      </c>
      <c r="AC6" s="443">
        <f t="shared" si="0"/>
        <v>433.81444617924</v>
      </c>
      <c r="AD6" s="443">
        <f t="shared" si="0"/>
        <v>442.6742133727001</v>
      </c>
      <c r="AE6" s="443">
        <f t="shared" si="0"/>
        <v>450.0524455557585</v>
      </c>
      <c r="AF6" s="444">
        <v>63.99008623127671</v>
      </c>
      <c r="AG6" s="444">
        <v>67.01169230449909</v>
      </c>
      <c r="AH6" s="444">
        <f>0.680708332962707*100</f>
        <v>68.0708332962707</v>
      </c>
      <c r="AI6" s="444">
        <f>0.663340459*100</f>
        <v>66.3340459</v>
      </c>
      <c r="AJ6" s="445">
        <v>64.24061834290735</v>
      </c>
      <c r="AK6" s="446">
        <f>AE6/AD6*100-100</f>
        <v>1.6667409033935314</v>
      </c>
      <c r="AL6" s="440" t="s">
        <v>113</v>
      </c>
    </row>
    <row r="7" spans="1:38" ht="12.75" customHeight="1">
      <c r="A7" s="214"/>
      <c r="B7" s="221" t="s">
        <v>29</v>
      </c>
      <c r="C7" s="262">
        <v>8.26</v>
      </c>
      <c r="D7" s="262">
        <v>6.963</v>
      </c>
      <c r="E7" s="263">
        <v>6.539</v>
      </c>
      <c r="F7" s="263">
        <v>6.77</v>
      </c>
      <c r="G7" s="263">
        <v>6.798</v>
      </c>
      <c r="H7" s="263">
        <v>6.694</v>
      </c>
      <c r="I7" s="263">
        <v>6.638</v>
      </c>
      <c r="J7" s="263">
        <v>6.757</v>
      </c>
      <c r="K7" s="263">
        <v>6.788</v>
      </c>
      <c r="L7" s="263">
        <v>6.98</v>
      </c>
      <c r="M7" s="263">
        <v>7.097</v>
      </c>
      <c r="N7" s="263">
        <v>7.354</v>
      </c>
      <c r="O7" s="263">
        <v>7.734</v>
      </c>
      <c r="P7" s="263">
        <v>8.038</v>
      </c>
      <c r="Q7" s="263">
        <v>8.26</v>
      </c>
      <c r="R7" s="263">
        <v>8.265</v>
      </c>
      <c r="S7" s="263">
        <v>9.225</v>
      </c>
      <c r="T7" s="263">
        <v>8.51</v>
      </c>
      <c r="U7" s="263">
        <v>8.964</v>
      </c>
      <c r="V7" s="263">
        <v>9.403</v>
      </c>
      <c r="W7" s="263">
        <v>10.139</v>
      </c>
      <c r="X7" s="263">
        <v>10.237</v>
      </c>
      <c r="Y7" s="263">
        <v>10.564</v>
      </c>
      <c r="Z7" s="263">
        <v>10.669</v>
      </c>
      <c r="AA7" s="263">
        <v>10.857</v>
      </c>
      <c r="AB7" s="263">
        <v>10.886</v>
      </c>
      <c r="AC7" s="263">
        <v>10.974</v>
      </c>
      <c r="AD7" s="549">
        <v>10.333</v>
      </c>
      <c r="AE7" s="263">
        <v>10.025</v>
      </c>
      <c r="AF7" s="352"/>
      <c r="AG7" s="352">
        <v>89.33492559250413</v>
      </c>
      <c r="AH7" s="352">
        <v>90.4</v>
      </c>
      <c r="AI7" s="352"/>
      <c r="AJ7" s="351"/>
      <c r="AK7" s="262">
        <f aca="true" t="shared" si="1" ref="AK7:AK42">AE7/AD7*100-100</f>
        <v>-2.9807413142359422</v>
      </c>
      <c r="AL7" s="221" t="s">
        <v>29</v>
      </c>
    </row>
    <row r="8" spans="1:38" ht="12.75" customHeight="1">
      <c r="A8" s="214"/>
      <c r="B8" s="225" t="s">
        <v>12</v>
      </c>
      <c r="C8" s="248">
        <v>6.224</v>
      </c>
      <c r="D8" s="248">
        <v>7.055</v>
      </c>
      <c r="E8" s="227">
        <v>7.793</v>
      </c>
      <c r="F8" s="227">
        <v>4.866</v>
      </c>
      <c r="G8" s="227">
        <v>5.393</v>
      </c>
      <c r="H8" s="227">
        <v>5.837</v>
      </c>
      <c r="I8" s="227">
        <v>5.059</v>
      </c>
      <c r="J8" s="227">
        <v>4.693</v>
      </c>
      <c r="K8" s="227">
        <v>5.065</v>
      </c>
      <c r="L8" s="227">
        <v>5.886</v>
      </c>
      <c r="M8" s="227">
        <v>4.74</v>
      </c>
      <c r="N8" s="227">
        <v>3.819</v>
      </c>
      <c r="O8" s="227">
        <v>3.472</v>
      </c>
      <c r="P8" s="227">
        <v>2.99</v>
      </c>
      <c r="Q8" s="227">
        <v>2.598</v>
      </c>
      <c r="R8" s="227">
        <v>2.517</v>
      </c>
      <c r="S8" s="227">
        <v>2.404</v>
      </c>
      <c r="T8" s="227">
        <v>2.389</v>
      </c>
      <c r="U8" s="227">
        <v>2.411</v>
      </c>
      <c r="V8" s="227">
        <v>2.404</v>
      </c>
      <c r="W8" s="227">
        <v>2.317</v>
      </c>
      <c r="X8" s="227">
        <v>2.138</v>
      </c>
      <c r="Y8" s="227">
        <v>2.09</v>
      </c>
      <c r="Z8" s="227">
        <v>2.059</v>
      </c>
      <c r="AA8" s="227">
        <v>1.87</v>
      </c>
      <c r="AB8" s="227">
        <v>1.821</v>
      </c>
      <c r="AC8" s="227">
        <v>1.698</v>
      </c>
      <c r="AD8" s="227">
        <v>1.549</v>
      </c>
      <c r="AE8" s="227">
        <v>1.455</v>
      </c>
      <c r="AF8" s="352">
        <v>85.2734163508392</v>
      </c>
      <c r="AG8" s="352">
        <v>88.08347062053817</v>
      </c>
      <c r="AH8" s="352">
        <v>91.2</v>
      </c>
      <c r="AI8" s="352">
        <v>94.1502383713439</v>
      </c>
      <c r="AJ8" s="351">
        <f>0.921942520063104*100</f>
        <v>92.19425200631039</v>
      </c>
      <c r="AK8" s="248">
        <f t="shared" si="1"/>
        <v>-6.0684312459651295</v>
      </c>
      <c r="AL8" s="225" t="s">
        <v>12</v>
      </c>
    </row>
    <row r="9" spans="1:38" ht="12.75" customHeight="1">
      <c r="A9" s="214"/>
      <c r="B9" s="221" t="s">
        <v>14</v>
      </c>
      <c r="C9" s="271"/>
      <c r="D9" s="271"/>
      <c r="E9" s="272">
        <v>13.313</v>
      </c>
      <c r="F9" s="345">
        <v>12.5</v>
      </c>
      <c r="G9" s="272">
        <v>11.147</v>
      </c>
      <c r="H9" s="272">
        <v>8.548</v>
      </c>
      <c r="I9" s="272">
        <v>8.481</v>
      </c>
      <c r="J9" s="272">
        <v>8.023</v>
      </c>
      <c r="K9" s="272">
        <v>8.111</v>
      </c>
      <c r="L9" s="272">
        <v>7.71</v>
      </c>
      <c r="M9" s="272">
        <v>7.001</v>
      </c>
      <c r="N9" s="272">
        <v>6.929</v>
      </c>
      <c r="O9" s="272">
        <v>7.3</v>
      </c>
      <c r="P9" s="272">
        <v>7.299</v>
      </c>
      <c r="Q9" s="272">
        <v>6.597</v>
      </c>
      <c r="R9" s="272">
        <v>6.518</v>
      </c>
      <c r="S9" s="272">
        <v>6.58</v>
      </c>
      <c r="T9" s="272">
        <v>6.667</v>
      </c>
      <c r="U9" s="272">
        <v>6.922</v>
      </c>
      <c r="V9" s="272">
        <v>6.898</v>
      </c>
      <c r="W9" s="272">
        <v>6.773</v>
      </c>
      <c r="X9" s="272">
        <v>6.472</v>
      </c>
      <c r="Y9" s="272">
        <v>6.559</v>
      </c>
      <c r="Z9" s="272">
        <v>6.669</v>
      </c>
      <c r="AA9" s="272">
        <v>7.196</v>
      </c>
      <c r="AB9" s="272">
        <v>7.512</v>
      </c>
      <c r="AC9" s="272">
        <v>7.644</v>
      </c>
      <c r="AD9" s="272">
        <v>8.125</v>
      </c>
      <c r="AE9" s="272">
        <v>8.738</v>
      </c>
      <c r="AF9" s="352">
        <v>92.3076923076923</v>
      </c>
      <c r="AG9" s="352"/>
      <c r="AH9" s="352">
        <v>93.2</v>
      </c>
      <c r="AI9" s="352">
        <v>99.9987949193801</v>
      </c>
      <c r="AJ9" s="351">
        <f>0.949903878774172*100</f>
        <v>94.9903878774172</v>
      </c>
      <c r="AK9" s="222">
        <f t="shared" si="1"/>
        <v>7.544615384615369</v>
      </c>
      <c r="AL9" s="221" t="s">
        <v>14</v>
      </c>
    </row>
    <row r="10" spans="1:38" ht="12.75" customHeight="1">
      <c r="A10" s="214"/>
      <c r="B10" s="225" t="s">
        <v>25</v>
      </c>
      <c r="C10" s="248">
        <v>3.898</v>
      </c>
      <c r="D10" s="248">
        <v>3.803</v>
      </c>
      <c r="E10" s="227">
        <v>5.051</v>
      </c>
      <c r="F10" s="227">
        <v>4.913</v>
      </c>
      <c r="G10" s="227">
        <v>4.974</v>
      </c>
      <c r="H10" s="227">
        <v>4.939</v>
      </c>
      <c r="I10" s="227">
        <v>5.052</v>
      </c>
      <c r="J10" s="227">
        <v>4.888</v>
      </c>
      <c r="K10" s="227">
        <v>4.821</v>
      </c>
      <c r="L10" s="227">
        <v>5.173</v>
      </c>
      <c r="M10" s="227">
        <v>5.365</v>
      </c>
      <c r="N10" s="227">
        <v>5.31</v>
      </c>
      <c r="O10" s="227">
        <v>5.537</v>
      </c>
      <c r="P10" s="227">
        <v>5.721</v>
      </c>
      <c r="Q10" s="227">
        <v>5.745</v>
      </c>
      <c r="R10" s="227">
        <v>5.826</v>
      </c>
      <c r="S10" s="227">
        <v>5.946</v>
      </c>
      <c r="T10" s="227">
        <v>5.974</v>
      </c>
      <c r="U10" s="227">
        <v>6.11</v>
      </c>
      <c r="V10" s="227">
        <v>6.176</v>
      </c>
      <c r="W10" s="227">
        <v>6.28</v>
      </c>
      <c r="X10" s="227">
        <v>6.152</v>
      </c>
      <c r="Y10" s="227">
        <v>6.338</v>
      </c>
      <c r="Z10" s="227">
        <v>6.365</v>
      </c>
      <c r="AA10" s="227">
        <v>6.517</v>
      </c>
      <c r="AB10" s="227">
        <v>6.551</v>
      </c>
      <c r="AC10" s="227">
        <v>6.513</v>
      </c>
      <c r="AD10" s="227">
        <v>6.506</v>
      </c>
      <c r="AE10" s="227">
        <f>6.653-0.321</f>
        <v>6.332</v>
      </c>
      <c r="AF10" s="352">
        <v>90.59208653572445</v>
      </c>
      <c r="AG10" s="352">
        <v>95.97230073487846</v>
      </c>
      <c r="AH10" s="352">
        <v>100</v>
      </c>
      <c r="AI10" s="352">
        <v>100</v>
      </c>
      <c r="AJ10" s="351">
        <v>100</v>
      </c>
      <c r="AK10" s="248">
        <f t="shared" si="1"/>
        <v>-2.6744543498309383</v>
      </c>
      <c r="AL10" s="225" t="s">
        <v>25</v>
      </c>
    </row>
    <row r="11" spans="1:38" s="235" customFormat="1" ht="12.75" customHeight="1">
      <c r="A11" s="240"/>
      <c r="B11" s="221" t="s">
        <v>30</v>
      </c>
      <c r="C11" s="271">
        <v>62.4</v>
      </c>
      <c r="D11" s="271">
        <v>62.499</v>
      </c>
      <c r="E11" s="272">
        <v>61.024</v>
      </c>
      <c r="F11" s="272">
        <v>67.31</v>
      </c>
      <c r="G11" s="315">
        <v>67.55</v>
      </c>
      <c r="H11" s="272">
        <v>63.361</v>
      </c>
      <c r="I11" s="272">
        <v>65.2</v>
      </c>
      <c r="J11" s="272">
        <v>70.977</v>
      </c>
      <c r="K11" s="272">
        <v>71.73</v>
      </c>
      <c r="L11" s="272">
        <v>72.40299999999999</v>
      </c>
      <c r="M11" s="272">
        <v>72.666</v>
      </c>
      <c r="N11" s="272">
        <v>73.79599999999999</v>
      </c>
      <c r="O11" s="272">
        <v>75.404</v>
      </c>
      <c r="P11" s="272">
        <v>75.75399999999999</v>
      </c>
      <c r="Q11" s="272">
        <v>70.819</v>
      </c>
      <c r="R11" s="272">
        <v>71.293</v>
      </c>
      <c r="S11" s="272">
        <v>72.9</v>
      </c>
      <c r="T11" s="272">
        <v>76.8</v>
      </c>
      <c r="U11" s="272">
        <v>79</v>
      </c>
      <c r="V11" s="272">
        <v>79.107</v>
      </c>
      <c r="W11" s="272">
        <v>82.538825</v>
      </c>
      <c r="X11" s="272">
        <v>82.254</v>
      </c>
      <c r="Y11" s="272">
        <v>83.892</v>
      </c>
      <c r="Z11" s="272">
        <v>85.413</v>
      </c>
      <c r="AA11" s="272">
        <v>88.795</v>
      </c>
      <c r="AB11" s="272">
        <v>89.615</v>
      </c>
      <c r="AC11" s="272">
        <v>90.976</v>
      </c>
      <c r="AD11" s="272">
        <v>91.709</v>
      </c>
      <c r="AE11" s="272">
        <v>95.83</v>
      </c>
      <c r="AF11" s="352"/>
      <c r="AG11" s="352">
        <v>60.31104234196587</v>
      </c>
      <c r="AH11" s="352">
        <v>60.1</v>
      </c>
      <c r="AI11" s="352">
        <v>59.391965255157444</v>
      </c>
      <c r="AJ11" s="351">
        <f>0.585263157894737*100</f>
        <v>58.526315789473706</v>
      </c>
      <c r="AK11" s="222">
        <f t="shared" si="1"/>
        <v>4.493561155393678</v>
      </c>
      <c r="AL11" s="221" t="s">
        <v>30</v>
      </c>
    </row>
    <row r="12" spans="1:38" ht="12.75" customHeight="1">
      <c r="A12" s="214"/>
      <c r="B12" s="225" t="s">
        <v>15</v>
      </c>
      <c r="C12" s="248">
        <v>1.231</v>
      </c>
      <c r="D12" s="248">
        <v>1.553</v>
      </c>
      <c r="E12" s="227">
        <v>1.51</v>
      </c>
      <c r="F12" s="227">
        <v>1.273</v>
      </c>
      <c r="G12" s="227">
        <v>0.95</v>
      </c>
      <c r="H12" s="227">
        <v>0.722</v>
      </c>
      <c r="I12" s="227">
        <v>0.537</v>
      </c>
      <c r="J12" s="227">
        <v>0.421</v>
      </c>
      <c r="K12" s="227">
        <v>0.309</v>
      </c>
      <c r="L12" s="227">
        <v>0.262</v>
      </c>
      <c r="M12" s="227">
        <v>0.236</v>
      </c>
      <c r="N12" s="227">
        <v>0.238</v>
      </c>
      <c r="O12" s="227">
        <v>0.261</v>
      </c>
      <c r="P12" s="227">
        <v>0.182649</v>
      </c>
      <c r="Q12" s="227">
        <v>0.17695</v>
      </c>
      <c r="R12" s="227">
        <v>0.181814</v>
      </c>
      <c r="S12" s="227">
        <v>0.193</v>
      </c>
      <c r="T12" s="227">
        <v>0.248</v>
      </c>
      <c r="U12" s="227">
        <v>0.257</v>
      </c>
      <c r="V12" s="227">
        <v>0.274</v>
      </c>
      <c r="W12" s="227">
        <v>0.274</v>
      </c>
      <c r="X12" s="227">
        <v>0.249</v>
      </c>
      <c r="Y12" s="227">
        <v>0.247</v>
      </c>
      <c r="Z12" s="227">
        <v>0.243</v>
      </c>
      <c r="AA12" s="227">
        <v>0.235</v>
      </c>
      <c r="AB12" s="227">
        <v>0.223</v>
      </c>
      <c r="AC12" s="227">
        <v>0.28</v>
      </c>
      <c r="AD12" s="227">
        <v>0.286</v>
      </c>
      <c r="AE12" s="227">
        <v>0.316</v>
      </c>
      <c r="AF12" s="352">
        <v>92.76595744680851</v>
      </c>
      <c r="AG12" s="352">
        <v>90.01614349775784</v>
      </c>
      <c r="AH12" s="352">
        <v>93.4</v>
      </c>
      <c r="AI12" s="352">
        <v>100</v>
      </c>
      <c r="AJ12" s="351">
        <f>0.940057088487155*100</f>
        <v>94.0057088487155</v>
      </c>
      <c r="AK12" s="248">
        <f t="shared" si="1"/>
        <v>10.489510489510508</v>
      </c>
      <c r="AL12" s="225" t="s">
        <v>15</v>
      </c>
    </row>
    <row r="13" spans="1:38" s="235" customFormat="1" ht="12.75" customHeight="1">
      <c r="A13" s="240"/>
      <c r="B13" s="221" t="s">
        <v>33</v>
      </c>
      <c r="C13" s="262">
        <v>0.582</v>
      </c>
      <c r="D13" s="262">
        <v>1.032</v>
      </c>
      <c r="E13" s="263">
        <v>1.226</v>
      </c>
      <c r="F13" s="263">
        <v>1.29</v>
      </c>
      <c r="G13" s="263">
        <v>1.226</v>
      </c>
      <c r="H13" s="263">
        <v>1.274</v>
      </c>
      <c r="I13" s="263">
        <v>1.26</v>
      </c>
      <c r="J13" s="263">
        <v>1.291</v>
      </c>
      <c r="K13" s="263">
        <v>1.295</v>
      </c>
      <c r="L13" s="263">
        <v>1.387</v>
      </c>
      <c r="M13" s="263">
        <v>1.421</v>
      </c>
      <c r="N13" s="263">
        <v>1.458</v>
      </c>
      <c r="O13" s="263">
        <v>1.389</v>
      </c>
      <c r="P13" s="263">
        <v>1.515</v>
      </c>
      <c r="Q13" s="263">
        <v>1.628</v>
      </c>
      <c r="R13" s="263">
        <v>1.601</v>
      </c>
      <c r="S13" s="263">
        <v>1.582</v>
      </c>
      <c r="T13" s="263">
        <v>1.781</v>
      </c>
      <c r="U13" s="263">
        <v>1.872</v>
      </c>
      <c r="V13" s="263">
        <v>2.007</v>
      </c>
      <c r="W13" s="263">
        <v>1.976</v>
      </c>
      <c r="X13" s="263">
        <v>1.683</v>
      </c>
      <c r="Y13" s="263">
        <v>1.678</v>
      </c>
      <c r="Z13" s="263">
        <v>1.638</v>
      </c>
      <c r="AA13" s="263">
        <v>1.578</v>
      </c>
      <c r="AB13" s="263">
        <v>1.569</v>
      </c>
      <c r="AC13" s="263">
        <v>1.728</v>
      </c>
      <c r="AD13" s="263">
        <v>1.918</v>
      </c>
      <c r="AE13" s="263">
        <v>1.991</v>
      </c>
      <c r="AF13" s="352">
        <v>93.93173198482933</v>
      </c>
      <c r="AG13" s="352">
        <v>100</v>
      </c>
      <c r="AH13" s="352"/>
      <c r="AI13" s="352"/>
      <c r="AJ13" s="351">
        <f>0.953065134099617*100</f>
        <v>95.3065134099617</v>
      </c>
      <c r="AK13" s="262">
        <f t="shared" si="1"/>
        <v>3.8060479666319083</v>
      </c>
      <c r="AL13" s="221" t="s">
        <v>33</v>
      </c>
    </row>
    <row r="14" spans="1:38" ht="12.75" customHeight="1">
      <c r="A14" s="214"/>
      <c r="B14" s="225" t="s">
        <v>26</v>
      </c>
      <c r="C14" s="248">
        <v>1.951</v>
      </c>
      <c r="D14" s="248">
        <v>1.464</v>
      </c>
      <c r="E14" s="227">
        <v>1.977</v>
      </c>
      <c r="F14" s="227">
        <v>1.995</v>
      </c>
      <c r="G14" s="227">
        <v>2.046</v>
      </c>
      <c r="H14" s="227">
        <v>1.726</v>
      </c>
      <c r="I14" s="227">
        <v>1.599</v>
      </c>
      <c r="J14" s="227">
        <v>1.568</v>
      </c>
      <c r="K14" s="227">
        <v>1.751</v>
      </c>
      <c r="L14" s="227">
        <v>1.884</v>
      </c>
      <c r="M14" s="227">
        <v>1.552</v>
      </c>
      <c r="N14" s="227">
        <v>1.583</v>
      </c>
      <c r="O14" s="227">
        <v>1.886</v>
      </c>
      <c r="P14" s="227">
        <v>1.747</v>
      </c>
      <c r="Q14" s="227">
        <v>1.836</v>
      </c>
      <c r="R14" s="227">
        <v>1.574</v>
      </c>
      <c r="S14" s="227">
        <v>1.668</v>
      </c>
      <c r="T14" s="227">
        <v>1.854</v>
      </c>
      <c r="U14" s="227">
        <v>1.811</v>
      </c>
      <c r="V14" s="227">
        <v>1.93</v>
      </c>
      <c r="W14" s="227">
        <v>1.657</v>
      </c>
      <c r="X14" s="227">
        <v>1.467</v>
      </c>
      <c r="Y14" s="227">
        <v>1.383</v>
      </c>
      <c r="Z14" s="227">
        <v>0.958</v>
      </c>
      <c r="AA14" s="227">
        <v>0.832</v>
      </c>
      <c r="AB14" s="227">
        <v>1.056</v>
      </c>
      <c r="AC14" s="227">
        <v>1.072</v>
      </c>
      <c r="AD14" s="227">
        <v>1.263</v>
      </c>
      <c r="AE14" s="227">
        <v>1.192</v>
      </c>
      <c r="AF14" s="352">
        <v>100</v>
      </c>
      <c r="AG14" s="352"/>
      <c r="AH14" s="352"/>
      <c r="AI14" s="352">
        <v>93.01386138613861</v>
      </c>
      <c r="AJ14" s="351">
        <f>0.972830188679245*100</f>
        <v>97.2830188679245</v>
      </c>
      <c r="AK14" s="248">
        <f t="shared" si="1"/>
        <v>-5.621536025336496</v>
      </c>
      <c r="AL14" s="225" t="s">
        <v>26</v>
      </c>
    </row>
    <row r="15" spans="1:38" ht="12.75" customHeight="1">
      <c r="A15" s="214"/>
      <c r="B15" s="221" t="s">
        <v>31</v>
      </c>
      <c r="C15" s="262">
        <v>14.013</v>
      </c>
      <c r="D15" s="262">
        <v>13.527</v>
      </c>
      <c r="E15" s="263">
        <v>16.733</v>
      </c>
      <c r="F15" s="263">
        <v>16.357</v>
      </c>
      <c r="G15" s="263">
        <v>17.422</v>
      </c>
      <c r="H15" s="263">
        <v>16.486</v>
      </c>
      <c r="I15" s="263">
        <v>16.139</v>
      </c>
      <c r="J15" s="263">
        <v>16.594</v>
      </c>
      <c r="K15" s="264">
        <v>16.8</v>
      </c>
      <c r="L15" s="264">
        <v>17.878</v>
      </c>
      <c r="M15" s="264">
        <v>18.869</v>
      </c>
      <c r="N15" s="263">
        <v>19.655</v>
      </c>
      <c r="O15" s="263">
        <v>20.144</v>
      </c>
      <c r="P15" s="263">
        <v>20.828</v>
      </c>
      <c r="Q15" s="263">
        <v>21.211</v>
      </c>
      <c r="R15" s="263">
        <v>21.127</v>
      </c>
      <c r="S15" s="263">
        <v>20.386</v>
      </c>
      <c r="T15" s="263">
        <v>21.624</v>
      </c>
      <c r="U15" s="263">
        <v>22.105</v>
      </c>
      <c r="V15" s="263">
        <v>21.857</v>
      </c>
      <c r="W15" s="263">
        <v>23.969</v>
      </c>
      <c r="X15" s="263">
        <v>23.137</v>
      </c>
      <c r="Y15" s="263">
        <v>22.456</v>
      </c>
      <c r="Z15" s="263">
        <v>22.795</v>
      </c>
      <c r="AA15" s="263">
        <v>22.476</v>
      </c>
      <c r="AB15" s="263">
        <v>23.788</v>
      </c>
      <c r="AC15" s="263">
        <v>25.072</v>
      </c>
      <c r="AD15" s="263">
        <v>26.142</v>
      </c>
      <c r="AE15" s="263">
        <v>26.6701</v>
      </c>
      <c r="AF15" s="352">
        <v>50.858063904427794</v>
      </c>
      <c r="AG15" s="352"/>
      <c r="AH15" s="352"/>
      <c r="AI15" s="352"/>
      <c r="AJ15" s="351">
        <f>0.430469336918271*100</f>
        <v>43.0469336918271</v>
      </c>
      <c r="AK15" s="262">
        <f t="shared" si="1"/>
        <v>2.020120878280167</v>
      </c>
      <c r="AL15" s="221" t="s">
        <v>31</v>
      </c>
    </row>
    <row r="16" spans="1:38" ht="12.75" customHeight="1">
      <c r="A16" s="214"/>
      <c r="B16" s="225" t="s">
        <v>32</v>
      </c>
      <c r="C16" s="248">
        <v>40.979</v>
      </c>
      <c r="D16" s="248">
        <v>54.496</v>
      </c>
      <c r="E16" s="227">
        <v>63.74</v>
      </c>
      <c r="F16" s="227">
        <v>62.37</v>
      </c>
      <c r="G16" s="227">
        <v>62.99</v>
      </c>
      <c r="H16" s="227">
        <v>58.43</v>
      </c>
      <c r="I16" s="227">
        <v>58.94</v>
      </c>
      <c r="J16" s="227">
        <v>54.218806282</v>
      </c>
      <c r="K16" s="227">
        <v>58.372198587</v>
      </c>
      <c r="L16" s="227">
        <v>59.898359949</v>
      </c>
      <c r="M16" s="227">
        <v>63.543963294</v>
      </c>
      <c r="N16" s="227">
        <v>64.967827788</v>
      </c>
      <c r="O16" s="227">
        <v>69.415908139</v>
      </c>
      <c r="P16" s="227">
        <v>71.11860577</v>
      </c>
      <c r="Q16" s="227">
        <v>72.897382715</v>
      </c>
      <c r="R16" s="227">
        <v>71.0963667881419</v>
      </c>
      <c r="S16" s="227">
        <v>73.914539779</v>
      </c>
      <c r="T16" s="227">
        <v>75.981504922</v>
      </c>
      <c r="U16" s="227">
        <v>79.275898616</v>
      </c>
      <c r="V16" s="227">
        <v>81.293456999</v>
      </c>
      <c r="W16" s="227">
        <v>86.339115444</v>
      </c>
      <c r="X16" s="227">
        <v>85.612418338917</v>
      </c>
      <c r="Y16" s="227">
        <v>85.60156774584</v>
      </c>
      <c r="Z16" s="227">
        <v>88.73188275838</v>
      </c>
      <c r="AA16" s="227">
        <v>88.773421826064</v>
      </c>
      <c r="AB16" s="227">
        <v>88.1246075116794</v>
      </c>
      <c r="AC16" s="227">
        <v>87.22744617924</v>
      </c>
      <c r="AD16" s="227">
        <v>89.1212133727001</v>
      </c>
      <c r="AE16" s="227">
        <v>87.80418055575853</v>
      </c>
      <c r="AF16" s="352">
        <v>37.609649122807014</v>
      </c>
      <c r="AG16" s="352">
        <v>37.086092715231786</v>
      </c>
      <c r="AH16" s="352">
        <v>38.2</v>
      </c>
      <c r="AI16" s="352">
        <v>37.6550685738601</v>
      </c>
      <c r="AJ16" s="351">
        <f>0.380275452814313*100</f>
        <v>38.0275452814313</v>
      </c>
      <c r="AK16" s="248">
        <f t="shared" si="1"/>
        <v>-1.4777994678256903</v>
      </c>
      <c r="AL16" s="225" t="s">
        <v>32</v>
      </c>
    </row>
    <row r="17" spans="1:38" ht="12.75" customHeight="1">
      <c r="A17" s="214"/>
      <c r="B17" s="221" t="s">
        <v>44</v>
      </c>
      <c r="C17" s="222">
        <v>3.732</v>
      </c>
      <c r="D17" s="222">
        <v>3.619</v>
      </c>
      <c r="E17" s="223">
        <v>3.429</v>
      </c>
      <c r="F17" s="223">
        <v>1.427</v>
      </c>
      <c r="G17" s="223">
        <v>1.145</v>
      </c>
      <c r="H17" s="223">
        <v>1.094</v>
      </c>
      <c r="I17" s="223">
        <v>1.182</v>
      </c>
      <c r="J17" s="223">
        <v>1.139</v>
      </c>
      <c r="K17" s="223">
        <v>1.205</v>
      </c>
      <c r="L17" s="223">
        <v>1.158</v>
      </c>
      <c r="M17" s="223">
        <v>1.092</v>
      </c>
      <c r="N17" s="223">
        <v>1.137</v>
      </c>
      <c r="O17" s="223">
        <v>1.252</v>
      </c>
      <c r="P17" s="223">
        <v>1.241</v>
      </c>
      <c r="Q17" s="223">
        <v>1.195</v>
      </c>
      <c r="R17" s="223">
        <v>1.163</v>
      </c>
      <c r="S17" s="223">
        <v>1.169</v>
      </c>
      <c r="T17" s="223">
        <v>1.227</v>
      </c>
      <c r="U17" s="223">
        <v>1.322</v>
      </c>
      <c r="V17" s="223">
        <v>1.573</v>
      </c>
      <c r="W17" s="223">
        <v>1.769</v>
      </c>
      <c r="X17" s="223">
        <v>1.802</v>
      </c>
      <c r="Y17" s="223">
        <v>1.711</v>
      </c>
      <c r="Z17" s="223">
        <v>1.457</v>
      </c>
      <c r="AA17" s="223">
        <v>1.08</v>
      </c>
      <c r="AB17" s="223">
        <v>0.935</v>
      </c>
      <c r="AC17" s="223">
        <v>0.917</v>
      </c>
      <c r="AD17" s="223">
        <v>0.941</v>
      </c>
      <c r="AE17" s="223">
        <v>0.827</v>
      </c>
      <c r="AF17" s="352"/>
      <c r="AG17" s="352">
        <v>100</v>
      </c>
      <c r="AH17" s="352">
        <v>100</v>
      </c>
      <c r="AI17" s="352">
        <v>100</v>
      </c>
      <c r="AJ17" s="351">
        <v>100</v>
      </c>
      <c r="AK17" s="222">
        <f t="shared" si="1"/>
        <v>-12.11477151965994</v>
      </c>
      <c r="AL17" s="221" t="s">
        <v>44</v>
      </c>
    </row>
    <row r="18" spans="1:38" ht="12.75" customHeight="1">
      <c r="A18" s="214"/>
      <c r="B18" s="225" t="s">
        <v>34</v>
      </c>
      <c r="C18" s="248">
        <v>32.457</v>
      </c>
      <c r="D18" s="248">
        <v>39.587</v>
      </c>
      <c r="E18" s="227">
        <v>44.709</v>
      </c>
      <c r="F18" s="227">
        <v>45.065</v>
      </c>
      <c r="G18" s="227">
        <v>44.409</v>
      </c>
      <c r="H18" s="227">
        <v>42.72</v>
      </c>
      <c r="I18" s="260">
        <v>43.375</v>
      </c>
      <c r="J18" s="227">
        <f>43.859+2.792</f>
        <v>46.651</v>
      </c>
      <c r="K18" s="227">
        <f>44.78+2.8</f>
        <v>47.58</v>
      </c>
      <c r="L18" s="227">
        <f>43.591+2.8</f>
        <v>46.391</v>
      </c>
      <c r="M18" s="227">
        <f>41.391+2.8</f>
        <v>44.190999999999995</v>
      </c>
      <c r="N18" s="227">
        <f>43.424+2.878</f>
        <v>46.302</v>
      </c>
      <c r="O18" s="227">
        <f>47.133+2.439</f>
        <v>49.572</v>
      </c>
      <c r="P18" s="227">
        <f>46.752+3.324</f>
        <v>50.076</v>
      </c>
      <c r="Q18" s="227">
        <f>45.956+3.348</f>
        <v>49.304</v>
      </c>
      <c r="R18" s="227">
        <f>45.222+3.475</f>
        <v>48.697</v>
      </c>
      <c r="S18" s="227">
        <v>49.254</v>
      </c>
      <c r="T18" s="227">
        <v>50.088</v>
      </c>
      <c r="U18" s="227">
        <v>50.185</v>
      </c>
      <c r="V18" s="227">
        <v>49.78</v>
      </c>
      <c r="W18" s="227">
        <v>49.524</v>
      </c>
      <c r="X18" s="227">
        <v>48.124</v>
      </c>
      <c r="Y18" s="227">
        <v>47.172</v>
      </c>
      <c r="Z18" s="227">
        <v>46.845</v>
      </c>
      <c r="AA18" s="227">
        <v>46.759</v>
      </c>
      <c r="AB18" s="227">
        <v>48.739</v>
      </c>
      <c r="AC18" s="227">
        <v>49.957</v>
      </c>
      <c r="AD18" s="227">
        <v>52.207</v>
      </c>
      <c r="AE18" s="227">
        <v>52.178065</v>
      </c>
      <c r="AF18" s="352">
        <v>51.36712346731361</v>
      </c>
      <c r="AG18" s="352">
        <v>61.08951868736738</v>
      </c>
      <c r="AH18" s="352">
        <v>66.7</v>
      </c>
      <c r="AI18" s="352">
        <v>60.16183382631869</v>
      </c>
      <c r="AJ18" s="351">
        <f>0.566308941822644*100</f>
        <v>56.6308941822644</v>
      </c>
      <c r="AK18" s="248">
        <f t="shared" si="1"/>
        <v>-0.05542360219894249</v>
      </c>
      <c r="AL18" s="225" t="s">
        <v>34</v>
      </c>
    </row>
    <row r="19" spans="1:38" ht="12.75" customHeight="1">
      <c r="A19" s="214"/>
      <c r="B19" s="221" t="s">
        <v>13</v>
      </c>
      <c r="C19" s="334" t="s">
        <v>43</v>
      </c>
      <c r="D19" s="334"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52" t="s">
        <v>43</v>
      </c>
      <c r="AG19" s="352" t="s">
        <v>43</v>
      </c>
      <c r="AH19" s="352" t="s">
        <v>43</v>
      </c>
      <c r="AI19" s="352" t="s">
        <v>43</v>
      </c>
      <c r="AJ19" s="351" t="s">
        <v>43</v>
      </c>
      <c r="AK19" s="334" t="s">
        <v>43</v>
      </c>
      <c r="AL19" s="221" t="s">
        <v>13</v>
      </c>
    </row>
    <row r="20" spans="1:38" s="235" customFormat="1" ht="12.75" customHeight="1">
      <c r="A20" s="240"/>
      <c r="B20" s="225" t="s">
        <v>17</v>
      </c>
      <c r="C20" s="248">
        <v>3.747</v>
      </c>
      <c r="D20" s="248">
        <v>4.687</v>
      </c>
      <c r="E20" s="227">
        <v>5.366</v>
      </c>
      <c r="F20" s="227">
        <v>3.93</v>
      </c>
      <c r="G20" s="227">
        <v>3.656</v>
      </c>
      <c r="H20" s="227">
        <v>2.359</v>
      </c>
      <c r="I20" s="227">
        <v>1.794</v>
      </c>
      <c r="J20" s="227">
        <v>1.373</v>
      </c>
      <c r="K20" s="227">
        <v>1.149</v>
      </c>
      <c r="L20" s="227">
        <v>1.154</v>
      </c>
      <c r="M20" s="227">
        <v>1.059</v>
      </c>
      <c r="N20" s="227">
        <v>0.984</v>
      </c>
      <c r="O20" s="227">
        <v>0.715</v>
      </c>
      <c r="P20" s="227">
        <v>0.706</v>
      </c>
      <c r="Q20" s="227">
        <v>0.744</v>
      </c>
      <c r="R20" s="227">
        <v>0.762</v>
      </c>
      <c r="S20" s="227">
        <v>0.806</v>
      </c>
      <c r="T20" s="227">
        <v>0.889</v>
      </c>
      <c r="U20" s="227">
        <v>0.986</v>
      </c>
      <c r="V20" s="227">
        <v>0.975</v>
      </c>
      <c r="W20" s="227">
        <v>0.941</v>
      </c>
      <c r="X20" s="227">
        <v>0.748</v>
      </c>
      <c r="Y20" s="227">
        <v>0.741</v>
      </c>
      <c r="Z20" s="227">
        <v>0.733</v>
      </c>
      <c r="AA20" s="227">
        <v>0.717</v>
      </c>
      <c r="AB20" s="227">
        <v>0.721</v>
      </c>
      <c r="AC20" s="227">
        <v>0.644</v>
      </c>
      <c r="AD20" s="227">
        <v>0.59</v>
      </c>
      <c r="AE20" s="227">
        <v>0.584</v>
      </c>
      <c r="AF20" s="352">
        <v>88.27586206896552</v>
      </c>
      <c r="AG20" s="352">
        <v>88.52005532503458</v>
      </c>
      <c r="AH20" s="352">
        <v>89.8</v>
      </c>
      <c r="AI20" s="352">
        <v>91.8321489001692</v>
      </c>
      <c r="AJ20" s="351">
        <f>0.931258549931601*100</f>
        <v>93.12585499316009</v>
      </c>
      <c r="AK20" s="248">
        <f t="shared" si="1"/>
        <v>-1.0169491525423808</v>
      </c>
      <c r="AL20" s="225" t="s">
        <v>17</v>
      </c>
    </row>
    <row r="21" spans="1:38" ht="12.75" customHeight="1">
      <c r="A21" s="214"/>
      <c r="B21" s="221" t="s">
        <v>18</v>
      </c>
      <c r="C21" s="222">
        <v>2.132</v>
      </c>
      <c r="D21" s="222">
        <v>3.258</v>
      </c>
      <c r="E21" s="223">
        <v>3.64</v>
      </c>
      <c r="F21" s="223">
        <v>3.225</v>
      </c>
      <c r="G21" s="223">
        <v>2.74</v>
      </c>
      <c r="H21" s="223">
        <v>2.7</v>
      </c>
      <c r="I21" s="223">
        <v>1.574</v>
      </c>
      <c r="J21" s="223">
        <v>1.13</v>
      </c>
      <c r="K21" s="223">
        <v>0.954</v>
      </c>
      <c r="L21" s="223">
        <v>0.842</v>
      </c>
      <c r="M21" s="223">
        <v>0.8</v>
      </c>
      <c r="N21" s="223">
        <v>0.745</v>
      </c>
      <c r="O21" s="223">
        <v>0.611</v>
      </c>
      <c r="P21" s="223">
        <v>0.533</v>
      </c>
      <c r="Q21" s="223">
        <v>0.498</v>
      </c>
      <c r="R21" s="223">
        <v>0.432</v>
      </c>
      <c r="S21" s="223">
        <v>0.444</v>
      </c>
      <c r="T21" s="223">
        <v>0.28</v>
      </c>
      <c r="U21" s="223">
        <v>0.268</v>
      </c>
      <c r="V21" s="223">
        <v>0.246</v>
      </c>
      <c r="W21" s="223">
        <v>0.258</v>
      </c>
      <c r="X21" s="223">
        <v>0.231</v>
      </c>
      <c r="Y21" s="223">
        <v>0.244</v>
      </c>
      <c r="Z21" s="223">
        <v>0.269</v>
      </c>
      <c r="AA21" s="223">
        <v>0.278</v>
      </c>
      <c r="AB21" s="223">
        <v>0.278</v>
      </c>
      <c r="AC21" s="223">
        <v>0.27</v>
      </c>
      <c r="AD21" s="223">
        <v>0.262</v>
      </c>
      <c r="AE21" s="223">
        <v>0.28</v>
      </c>
      <c r="AF21" s="352">
        <v>100</v>
      </c>
      <c r="AG21" s="398">
        <v>64.51406649616368</v>
      </c>
      <c r="AH21" s="352">
        <v>67.2</v>
      </c>
      <c r="AI21" s="352">
        <v>68.69806094182826</v>
      </c>
      <c r="AJ21" s="351">
        <f>0.674242424242424*100</f>
        <v>67.4242424242424</v>
      </c>
      <c r="AK21" s="222">
        <f t="shared" si="1"/>
        <v>6.870229007633583</v>
      </c>
      <c r="AL21" s="221" t="s">
        <v>18</v>
      </c>
    </row>
    <row r="22" spans="1:38" s="235" customFormat="1" ht="12.75" customHeight="1">
      <c r="A22" s="240"/>
      <c r="B22" s="225" t="s">
        <v>35</v>
      </c>
      <c r="C22" s="248">
        <v>0.256</v>
      </c>
      <c r="D22" s="248">
        <v>0.246</v>
      </c>
      <c r="E22" s="227">
        <v>0.208</v>
      </c>
      <c r="F22" s="227">
        <v>0.22</v>
      </c>
      <c r="G22" s="227">
        <v>0.255</v>
      </c>
      <c r="H22" s="227">
        <v>0.262</v>
      </c>
      <c r="I22" s="227">
        <v>0.289</v>
      </c>
      <c r="J22" s="227">
        <v>0.287</v>
      </c>
      <c r="K22" s="227">
        <v>0.284</v>
      </c>
      <c r="L22" s="227">
        <v>0.295</v>
      </c>
      <c r="M22" s="227">
        <v>0.3</v>
      </c>
      <c r="N22" s="227">
        <v>0.31</v>
      </c>
      <c r="O22" s="227">
        <v>0.332</v>
      </c>
      <c r="P22" s="227">
        <v>0.346</v>
      </c>
      <c r="Q22" s="227">
        <v>0.268</v>
      </c>
      <c r="R22" s="227">
        <v>0.262</v>
      </c>
      <c r="S22" s="227">
        <v>0.253</v>
      </c>
      <c r="T22" s="227">
        <v>0.267</v>
      </c>
      <c r="U22" s="227">
        <v>0.298</v>
      </c>
      <c r="V22" s="227">
        <v>0.316</v>
      </c>
      <c r="W22" s="227">
        <v>0.345</v>
      </c>
      <c r="X22" s="227">
        <v>0.333</v>
      </c>
      <c r="Y22" s="227">
        <v>0.347</v>
      </c>
      <c r="Z22" s="227">
        <f>0.349</f>
        <v>0.349</v>
      </c>
      <c r="AA22" s="227">
        <v>0.373</v>
      </c>
      <c r="AB22" s="227">
        <v>0.394</v>
      </c>
      <c r="AC22" s="227">
        <v>0.366</v>
      </c>
      <c r="AD22" s="227">
        <v>0.418</v>
      </c>
      <c r="AE22" s="227">
        <v>0.417</v>
      </c>
      <c r="AF22" s="357"/>
      <c r="AG22" s="352">
        <v>100</v>
      </c>
      <c r="AH22" s="352">
        <v>100</v>
      </c>
      <c r="AI22" s="352"/>
      <c r="AJ22" s="351"/>
      <c r="AK22" s="248">
        <f t="shared" si="1"/>
        <v>-0.23923444976075814</v>
      </c>
      <c r="AL22" s="225" t="s">
        <v>35</v>
      </c>
    </row>
    <row r="23" spans="1:38" ht="12.75" customHeight="1">
      <c r="A23" s="214"/>
      <c r="B23" s="221" t="s">
        <v>16</v>
      </c>
      <c r="C23" s="222">
        <v>16.35</v>
      </c>
      <c r="D23" s="222">
        <v>13.544</v>
      </c>
      <c r="E23" s="223">
        <v>11.403</v>
      </c>
      <c r="F23" s="223">
        <v>9.861</v>
      </c>
      <c r="G23" s="223">
        <v>9.183</v>
      </c>
      <c r="H23" s="223">
        <v>8.432</v>
      </c>
      <c r="I23" s="223">
        <v>8.508</v>
      </c>
      <c r="J23" s="223">
        <v>8.441</v>
      </c>
      <c r="K23" s="223">
        <v>8.582</v>
      </c>
      <c r="L23" s="223">
        <v>8.669</v>
      </c>
      <c r="M23" s="223">
        <v>8.884</v>
      </c>
      <c r="N23" s="223">
        <v>9.514</v>
      </c>
      <c r="O23" s="223">
        <v>9.693</v>
      </c>
      <c r="P23" s="223">
        <v>10.005</v>
      </c>
      <c r="Q23" s="223">
        <v>10.531</v>
      </c>
      <c r="R23" s="223">
        <v>10.286</v>
      </c>
      <c r="S23" s="223">
        <v>10.165</v>
      </c>
      <c r="T23" s="223">
        <v>9.851</v>
      </c>
      <c r="U23" s="223">
        <v>9.658</v>
      </c>
      <c r="V23" s="223">
        <v>8.752</v>
      </c>
      <c r="W23" s="223">
        <v>8.292</v>
      </c>
      <c r="X23" s="223">
        <v>8.072</v>
      </c>
      <c r="Y23" s="223">
        <v>7.681</v>
      </c>
      <c r="Z23" s="223">
        <v>7.763</v>
      </c>
      <c r="AA23" s="223">
        <v>7.806</v>
      </c>
      <c r="AB23" s="223">
        <v>7.842</v>
      </c>
      <c r="AC23" s="223">
        <v>7.738</v>
      </c>
      <c r="AD23" s="223">
        <v>7.609</v>
      </c>
      <c r="AE23" s="223">
        <v>7.653</v>
      </c>
      <c r="AF23" s="352">
        <v>94.26008968609865</v>
      </c>
      <c r="AG23" s="352">
        <v>95.34913516976297</v>
      </c>
      <c r="AH23" s="352">
        <v>95.5</v>
      </c>
      <c r="AI23" s="352">
        <v>95.0882719695478</v>
      </c>
      <c r="AJ23" s="351">
        <f>0.953600836491962*100</f>
        <v>95.3600836491962</v>
      </c>
      <c r="AK23" s="222">
        <f t="shared" si="1"/>
        <v>0.5782625837823474</v>
      </c>
      <c r="AL23" s="221" t="s">
        <v>16</v>
      </c>
    </row>
    <row r="24" spans="1:38" s="235" customFormat="1" ht="12.75" customHeight="1">
      <c r="A24" s="240"/>
      <c r="B24" s="225" t="s">
        <v>19</v>
      </c>
      <c r="C24" s="338" t="s">
        <v>43</v>
      </c>
      <c r="D24" s="338"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52" t="s">
        <v>43</v>
      </c>
      <c r="AG24" s="352" t="s">
        <v>43</v>
      </c>
      <c r="AH24" s="352" t="s">
        <v>43</v>
      </c>
      <c r="AI24" s="352" t="s">
        <v>43</v>
      </c>
      <c r="AJ24" s="351" t="s">
        <v>43</v>
      </c>
      <c r="AK24" s="338" t="s">
        <v>43</v>
      </c>
      <c r="AL24" s="225" t="s">
        <v>19</v>
      </c>
    </row>
    <row r="25" spans="1:38" ht="12.75" customHeight="1">
      <c r="A25" s="214"/>
      <c r="B25" s="221" t="s">
        <v>27</v>
      </c>
      <c r="C25" s="222">
        <v>8.011</v>
      </c>
      <c r="D25" s="222">
        <v>8.91</v>
      </c>
      <c r="E25" s="223">
        <v>11.06</v>
      </c>
      <c r="F25" s="223">
        <v>15.195</v>
      </c>
      <c r="G25" s="223">
        <v>15.35</v>
      </c>
      <c r="H25" s="223">
        <v>15.245</v>
      </c>
      <c r="I25" s="223">
        <v>14.439</v>
      </c>
      <c r="J25" s="223">
        <v>16.35</v>
      </c>
      <c r="K25" s="223">
        <v>14.092</v>
      </c>
      <c r="L25" s="223">
        <v>13.875</v>
      </c>
      <c r="M25" s="223">
        <v>14.107</v>
      </c>
      <c r="N25" s="223">
        <v>14.281</v>
      </c>
      <c r="O25" s="223">
        <v>14.666</v>
      </c>
      <c r="P25" s="223">
        <v>14.392</v>
      </c>
      <c r="Q25" s="223">
        <v>14.288</v>
      </c>
      <c r="R25" s="223">
        <v>13.848</v>
      </c>
      <c r="S25" s="223">
        <v>14.509</v>
      </c>
      <c r="T25" s="223">
        <v>15.153</v>
      </c>
      <c r="U25" s="223">
        <v>15.889</v>
      </c>
      <c r="V25" s="223">
        <v>16.325</v>
      </c>
      <c r="W25" s="223">
        <v>16.343</v>
      </c>
      <c r="X25" s="223">
        <v>16.455</v>
      </c>
      <c r="Y25" s="223">
        <v>16.9</v>
      </c>
      <c r="Z25" s="223">
        <v>17.479</v>
      </c>
      <c r="AA25" s="223">
        <v>17.771</v>
      </c>
      <c r="AB25" s="223">
        <v>19.044</v>
      </c>
      <c r="AC25" s="223">
        <v>20.005</v>
      </c>
      <c r="AD25" s="223">
        <v>17.523</v>
      </c>
      <c r="AE25" s="223">
        <v>17.98</v>
      </c>
      <c r="AF25" s="352"/>
      <c r="AG25" s="352">
        <v>96.31558096100515</v>
      </c>
      <c r="AH25" s="352">
        <v>94.7</v>
      </c>
      <c r="AI25" s="352">
        <v>100</v>
      </c>
      <c r="AJ25" s="351"/>
      <c r="AK25" s="222">
        <f t="shared" si="1"/>
        <v>2.608000913085661</v>
      </c>
      <c r="AL25" s="221" t="s">
        <v>27</v>
      </c>
    </row>
    <row r="26" spans="1:38" s="235" customFormat="1" ht="12.75" customHeight="1">
      <c r="A26" s="240"/>
      <c r="B26" s="225" t="s">
        <v>36</v>
      </c>
      <c r="C26" s="248">
        <v>6.438</v>
      </c>
      <c r="D26" s="248">
        <v>7.586</v>
      </c>
      <c r="E26" s="227">
        <v>8.912</v>
      </c>
      <c r="F26" s="227">
        <v>9.59</v>
      </c>
      <c r="G26" s="227">
        <v>9.957</v>
      </c>
      <c r="H26" s="227">
        <v>9.764</v>
      </c>
      <c r="I26" s="227">
        <v>9.949</v>
      </c>
      <c r="J26" s="227">
        <v>10.124</v>
      </c>
      <c r="K26" s="227">
        <v>10.222</v>
      </c>
      <c r="L26" s="227">
        <v>8.709</v>
      </c>
      <c r="M26" s="227">
        <v>8.537</v>
      </c>
      <c r="N26" s="227">
        <v>8.554</v>
      </c>
      <c r="O26" s="227">
        <v>8.73978502490829</v>
      </c>
      <c r="P26" s="227">
        <v>8.76093130944158</v>
      </c>
      <c r="Q26" s="227">
        <v>8.80985261380452</v>
      </c>
      <c r="R26" s="227">
        <v>8.6731335633535</v>
      </c>
      <c r="S26" s="227">
        <v>8.274</v>
      </c>
      <c r="T26" s="227">
        <v>8.685</v>
      </c>
      <c r="U26" s="227">
        <v>8.907</v>
      </c>
      <c r="V26" s="227">
        <v>9.167</v>
      </c>
      <c r="W26" s="227">
        <v>10.365</v>
      </c>
      <c r="X26" s="227">
        <v>10.184</v>
      </c>
      <c r="Y26" s="227">
        <v>10.263</v>
      </c>
      <c r="Z26" s="227">
        <v>10.778</v>
      </c>
      <c r="AA26" s="227">
        <v>11.211</v>
      </c>
      <c r="AB26" s="227">
        <v>11.804</v>
      </c>
      <c r="AC26" s="227">
        <v>11.981</v>
      </c>
      <c r="AD26" s="227">
        <v>12.211</v>
      </c>
      <c r="AE26" s="227">
        <v>12.5781</v>
      </c>
      <c r="AF26" s="357"/>
      <c r="AG26" s="357"/>
      <c r="AH26" s="352">
        <v>71.1</v>
      </c>
      <c r="AI26" s="352">
        <v>69.1072891072891</v>
      </c>
      <c r="AJ26" s="351">
        <f>0.693914218706523*100</f>
        <v>69.39142187065231</v>
      </c>
      <c r="AK26" s="248">
        <f t="shared" si="1"/>
        <v>3.0063057898615853</v>
      </c>
      <c r="AL26" s="225" t="s">
        <v>36</v>
      </c>
    </row>
    <row r="27" spans="1:38" ht="12.75" customHeight="1">
      <c r="A27" s="214"/>
      <c r="B27" s="221" t="s">
        <v>20</v>
      </c>
      <c r="C27" s="222">
        <v>36.891</v>
      </c>
      <c r="D27" s="222">
        <v>46.324</v>
      </c>
      <c r="E27" s="223">
        <v>50.373</v>
      </c>
      <c r="F27" s="223">
        <v>40.115</v>
      </c>
      <c r="G27" s="223">
        <v>32.571</v>
      </c>
      <c r="H27" s="223">
        <v>30.865</v>
      </c>
      <c r="I27" s="223">
        <v>27.61</v>
      </c>
      <c r="J27" s="223">
        <v>26.635</v>
      </c>
      <c r="K27" s="223">
        <v>26.569</v>
      </c>
      <c r="L27" s="223">
        <v>25.806</v>
      </c>
      <c r="M27" s="223">
        <v>25.664</v>
      </c>
      <c r="N27" s="223">
        <v>26.198</v>
      </c>
      <c r="O27" s="223">
        <v>24.092</v>
      </c>
      <c r="P27" s="223">
        <v>22.469</v>
      </c>
      <c r="Q27" s="223">
        <v>20.749</v>
      </c>
      <c r="R27" s="223">
        <v>19.638</v>
      </c>
      <c r="S27" s="223">
        <v>18.69</v>
      </c>
      <c r="T27" s="223">
        <v>18.157</v>
      </c>
      <c r="U27" s="223">
        <v>18.552</v>
      </c>
      <c r="V27" s="223">
        <v>19.859</v>
      </c>
      <c r="W27" s="223">
        <v>20.195</v>
      </c>
      <c r="X27" s="223">
        <v>18.637</v>
      </c>
      <c r="Y27" s="223">
        <v>17.921</v>
      </c>
      <c r="Z27" s="223">
        <v>18.177</v>
      </c>
      <c r="AA27" s="223">
        <v>17.826</v>
      </c>
      <c r="AB27" s="223">
        <v>16.797</v>
      </c>
      <c r="AC27" s="223">
        <v>16.015</v>
      </c>
      <c r="AD27" s="223">
        <v>17.367</v>
      </c>
      <c r="AE27" s="223">
        <v>19.175</v>
      </c>
      <c r="AF27" s="352">
        <v>81.90977275271464</v>
      </c>
      <c r="AG27" s="352">
        <v>86.51351029639328</v>
      </c>
      <c r="AH27" s="352">
        <v>86.2</v>
      </c>
      <c r="AI27" s="352">
        <v>82.21272664279941</v>
      </c>
      <c r="AJ27" s="351">
        <f>0.854388116653039*100</f>
        <v>85.4388116653039</v>
      </c>
      <c r="AK27" s="222">
        <f t="shared" si="1"/>
        <v>10.410548741866748</v>
      </c>
      <c r="AL27" s="221" t="s">
        <v>20</v>
      </c>
    </row>
    <row r="28" spans="1:38" s="235" customFormat="1" ht="12.75" customHeight="1">
      <c r="A28" s="240"/>
      <c r="B28" s="225" t="s">
        <v>37</v>
      </c>
      <c r="C28" s="248">
        <v>3.546</v>
      </c>
      <c r="D28" s="248">
        <v>6.076</v>
      </c>
      <c r="E28" s="227">
        <v>5.664</v>
      </c>
      <c r="F28" s="227">
        <v>5.692</v>
      </c>
      <c r="G28" s="227">
        <v>5.694</v>
      </c>
      <c r="H28" s="227">
        <v>5.397</v>
      </c>
      <c r="I28" s="227">
        <v>5.11</v>
      </c>
      <c r="J28" s="227">
        <v>4.809</v>
      </c>
      <c r="K28" s="227">
        <v>4.502</v>
      </c>
      <c r="L28" s="227">
        <v>4.568</v>
      </c>
      <c r="M28" s="227">
        <v>4.601</v>
      </c>
      <c r="N28" s="227">
        <v>4.329</v>
      </c>
      <c r="O28" s="237">
        <v>4.032</v>
      </c>
      <c r="P28" s="237">
        <v>3.992</v>
      </c>
      <c r="Q28" s="227">
        <v>3.925</v>
      </c>
      <c r="R28" s="227">
        <v>3.753</v>
      </c>
      <c r="S28" s="227">
        <v>3.752</v>
      </c>
      <c r="T28" s="227">
        <v>3.809</v>
      </c>
      <c r="U28" s="227">
        <v>3.876</v>
      </c>
      <c r="V28" s="227">
        <v>3.987</v>
      </c>
      <c r="W28" s="227">
        <v>4.213</v>
      </c>
      <c r="X28" s="227">
        <v>4.213</v>
      </c>
      <c r="Y28" s="227">
        <v>4.111</v>
      </c>
      <c r="Z28" s="227">
        <v>4.237</v>
      </c>
      <c r="AA28" s="227">
        <v>3.803</v>
      </c>
      <c r="AB28" s="227">
        <v>3.649</v>
      </c>
      <c r="AC28" s="227">
        <v>3.852</v>
      </c>
      <c r="AD28" s="227">
        <v>3.957</v>
      </c>
      <c r="AE28" s="227">
        <v>4.266</v>
      </c>
      <c r="AF28" s="352"/>
      <c r="AG28" s="352">
        <v>67.75342465753424</v>
      </c>
      <c r="AH28" s="352">
        <v>65</v>
      </c>
      <c r="AI28" s="352"/>
      <c r="AJ28" s="351"/>
      <c r="AK28" s="248">
        <f t="shared" si="1"/>
        <v>7.80894617134193</v>
      </c>
      <c r="AL28" s="225" t="s">
        <v>37</v>
      </c>
    </row>
    <row r="29" spans="1:38" ht="12.75" customHeight="1">
      <c r="A29" s="214"/>
      <c r="B29" s="221" t="s">
        <v>21</v>
      </c>
      <c r="C29" s="222">
        <v>17.793</v>
      </c>
      <c r="D29" s="222">
        <v>23.22</v>
      </c>
      <c r="E29" s="223">
        <v>30.582</v>
      </c>
      <c r="F29" s="223">
        <v>25.429</v>
      </c>
      <c r="G29" s="223">
        <v>24.269</v>
      </c>
      <c r="H29" s="223">
        <v>19.402</v>
      </c>
      <c r="I29" s="223">
        <v>18.313</v>
      </c>
      <c r="J29" s="223">
        <v>18.879</v>
      </c>
      <c r="K29" s="223">
        <v>18.356</v>
      </c>
      <c r="L29" s="223">
        <v>15.794</v>
      </c>
      <c r="M29" s="223">
        <v>13.422</v>
      </c>
      <c r="N29" s="223">
        <v>12.304</v>
      </c>
      <c r="O29" s="223">
        <v>11.632</v>
      </c>
      <c r="P29" s="223">
        <v>10.965</v>
      </c>
      <c r="Q29" s="223">
        <v>8.502</v>
      </c>
      <c r="R29" s="223">
        <v>8.497</v>
      </c>
      <c r="S29" s="223">
        <v>8.638</v>
      </c>
      <c r="T29" s="223">
        <v>7.985</v>
      </c>
      <c r="U29" s="223">
        <v>8.092</v>
      </c>
      <c r="V29" s="223">
        <v>7.476</v>
      </c>
      <c r="W29" s="223">
        <v>6.958</v>
      </c>
      <c r="X29" s="223">
        <v>6.128</v>
      </c>
      <c r="Y29" s="223">
        <v>5.437</v>
      </c>
      <c r="Z29" s="223">
        <v>5.073</v>
      </c>
      <c r="AA29" s="223">
        <v>4.571</v>
      </c>
      <c r="AB29" s="223">
        <v>4.411</v>
      </c>
      <c r="AC29" s="223">
        <v>4.976</v>
      </c>
      <c r="AD29" s="223">
        <v>5.149</v>
      </c>
      <c r="AE29" s="223">
        <v>4.988</v>
      </c>
      <c r="AF29" s="352">
        <v>94.59755030621172</v>
      </c>
      <c r="AG29" s="352">
        <v>96.4253798033959</v>
      </c>
      <c r="AH29" s="352">
        <v>95.4</v>
      </c>
      <c r="AI29" s="352">
        <v>100</v>
      </c>
      <c r="AJ29" s="351">
        <v>100</v>
      </c>
      <c r="AK29" s="222">
        <f t="shared" si="1"/>
        <v>-3.1268207418916205</v>
      </c>
      <c r="AL29" s="221" t="s">
        <v>21</v>
      </c>
    </row>
    <row r="30" spans="1:38" s="235" customFormat="1" ht="12.75" customHeight="1">
      <c r="A30" s="240"/>
      <c r="B30" s="225" t="s">
        <v>23</v>
      </c>
      <c r="C30" s="248">
        <v>1.38</v>
      </c>
      <c r="D30" s="248">
        <v>1.436</v>
      </c>
      <c r="E30" s="227">
        <v>1.429</v>
      </c>
      <c r="F30" s="227">
        <v>0.814</v>
      </c>
      <c r="G30" s="227">
        <v>0.547</v>
      </c>
      <c r="H30" s="227">
        <v>0.566</v>
      </c>
      <c r="I30" s="227">
        <v>0.59</v>
      </c>
      <c r="J30" s="227">
        <v>0.595</v>
      </c>
      <c r="K30" s="227">
        <v>0.613</v>
      </c>
      <c r="L30" s="227">
        <v>0.616</v>
      </c>
      <c r="M30" s="227">
        <v>0.645</v>
      </c>
      <c r="N30" s="227">
        <v>0.623</v>
      </c>
      <c r="O30" s="227">
        <v>0.705</v>
      </c>
      <c r="P30" s="227">
        <v>0.715</v>
      </c>
      <c r="Q30" s="227">
        <v>0.749</v>
      </c>
      <c r="R30" s="227">
        <v>0.777</v>
      </c>
      <c r="S30" s="227">
        <v>0.695</v>
      </c>
      <c r="T30" s="227">
        <v>0.716</v>
      </c>
      <c r="U30" s="227">
        <v>0.724</v>
      </c>
      <c r="V30" s="227">
        <v>0.74</v>
      </c>
      <c r="W30" s="227">
        <v>0.765</v>
      </c>
      <c r="X30" s="227">
        <v>0.773</v>
      </c>
      <c r="Y30" s="227">
        <v>0.729</v>
      </c>
      <c r="Z30" s="227">
        <v>0.689</v>
      </c>
      <c r="AA30" s="227">
        <v>0.659</v>
      </c>
      <c r="AB30" s="227">
        <v>0.679</v>
      </c>
      <c r="AC30" s="227">
        <v>0.62</v>
      </c>
      <c r="AD30" s="227">
        <v>0.628</v>
      </c>
      <c r="AE30" s="227">
        <v>0.611</v>
      </c>
      <c r="AF30" s="352">
        <v>83.87096774193549</v>
      </c>
      <c r="AG30" s="398">
        <v>98.29172141918528</v>
      </c>
      <c r="AH30" s="352">
        <v>98.5</v>
      </c>
      <c r="AI30" s="352">
        <v>94.55571227080395</v>
      </c>
      <c r="AJ30" s="351">
        <v>97.412145272754</v>
      </c>
      <c r="AK30" s="248">
        <f t="shared" si="1"/>
        <v>-2.7070063694267503</v>
      </c>
      <c r="AL30" s="225" t="s">
        <v>23</v>
      </c>
    </row>
    <row r="31" spans="1:38" ht="12.75" customHeight="1">
      <c r="A31" s="214"/>
      <c r="B31" s="221" t="s">
        <v>22</v>
      </c>
      <c r="C31" s="222"/>
      <c r="D31" s="222"/>
      <c r="E31" s="223">
        <v>6.381</v>
      </c>
      <c r="F31" s="223">
        <v>6.002</v>
      </c>
      <c r="G31" s="223">
        <v>5.453</v>
      </c>
      <c r="H31" s="223">
        <v>4.569</v>
      </c>
      <c r="I31" s="223">
        <v>4.548</v>
      </c>
      <c r="J31" s="223">
        <v>4.202</v>
      </c>
      <c r="K31" s="223">
        <v>3.769</v>
      </c>
      <c r="L31" s="223">
        <v>3.095</v>
      </c>
      <c r="M31" s="223">
        <v>3.092</v>
      </c>
      <c r="N31" s="223">
        <v>2.968</v>
      </c>
      <c r="O31" s="223">
        <v>2.87</v>
      </c>
      <c r="P31" s="223">
        <v>2.805</v>
      </c>
      <c r="Q31" s="223">
        <v>2.682</v>
      </c>
      <c r="R31" s="223">
        <v>2.316</v>
      </c>
      <c r="S31" s="223">
        <v>2.228</v>
      </c>
      <c r="T31" s="223">
        <v>2.182</v>
      </c>
      <c r="U31" s="223">
        <v>2.213</v>
      </c>
      <c r="V31" s="223">
        <v>2.165</v>
      </c>
      <c r="W31" s="223">
        <v>2.296</v>
      </c>
      <c r="X31" s="223">
        <v>2.264</v>
      </c>
      <c r="Y31" s="223">
        <v>2.309</v>
      </c>
      <c r="Z31" s="223">
        <v>2.431</v>
      </c>
      <c r="AA31" s="223">
        <v>2.459</v>
      </c>
      <c r="AB31" s="223">
        <v>2.485</v>
      </c>
      <c r="AC31" s="223">
        <v>2.583</v>
      </c>
      <c r="AD31" s="223">
        <v>3.411</v>
      </c>
      <c r="AE31" s="223">
        <v>3.484</v>
      </c>
      <c r="AF31" s="352">
        <v>92.28855721393035</v>
      </c>
      <c r="AG31" s="352">
        <v>90.21469859620149</v>
      </c>
      <c r="AH31" s="352">
        <v>91</v>
      </c>
      <c r="AI31" s="352">
        <v>99.7</v>
      </c>
      <c r="AJ31" s="351">
        <v>91.71896010757507</v>
      </c>
      <c r="AK31" s="222">
        <f t="shared" si="1"/>
        <v>2.140134857812953</v>
      </c>
      <c r="AL31" s="221" t="s">
        <v>22</v>
      </c>
    </row>
    <row r="32" spans="1:38" ht="12.75" customHeight="1">
      <c r="A32" s="214"/>
      <c r="B32" s="225" t="s">
        <v>38</v>
      </c>
      <c r="C32" s="248">
        <v>2.156</v>
      </c>
      <c r="D32" s="248">
        <v>3.216</v>
      </c>
      <c r="E32" s="227">
        <v>3.331</v>
      </c>
      <c r="F32" s="227">
        <v>3.23</v>
      </c>
      <c r="G32" s="227">
        <v>3.057</v>
      </c>
      <c r="H32" s="227">
        <v>3.007</v>
      </c>
      <c r="I32" s="227">
        <v>3.037</v>
      </c>
      <c r="J32" s="227">
        <v>3.184</v>
      </c>
      <c r="K32" s="227">
        <v>3.254</v>
      </c>
      <c r="L32" s="227">
        <v>3.376</v>
      </c>
      <c r="M32" s="227">
        <v>3.377</v>
      </c>
      <c r="N32" s="227">
        <v>3.415</v>
      </c>
      <c r="O32" s="227">
        <v>3.405</v>
      </c>
      <c r="P32" s="227">
        <v>3.282</v>
      </c>
      <c r="Q32" s="227">
        <v>3.318</v>
      </c>
      <c r="R32" s="227">
        <v>3.338</v>
      </c>
      <c r="S32" s="227">
        <v>3.352</v>
      </c>
      <c r="T32" s="227">
        <v>3.478</v>
      </c>
      <c r="U32" s="227">
        <v>3.54</v>
      </c>
      <c r="V32" s="227">
        <v>3.778</v>
      </c>
      <c r="W32" s="227">
        <v>4.052</v>
      </c>
      <c r="X32" s="227">
        <v>3.876</v>
      </c>
      <c r="Y32" s="227">
        <v>3.959</v>
      </c>
      <c r="Z32" s="227">
        <v>3.882</v>
      </c>
      <c r="AA32" s="227">
        <v>4.035</v>
      </c>
      <c r="AB32" s="227">
        <v>4.053</v>
      </c>
      <c r="AC32" s="227">
        <v>3.874</v>
      </c>
      <c r="AD32" s="227">
        <v>4.114</v>
      </c>
      <c r="AE32" s="227">
        <v>3.868</v>
      </c>
      <c r="AF32" s="352">
        <f>0.968277571251549*100</f>
        <v>96.8277571251549</v>
      </c>
      <c r="AG32" s="352">
        <f>0.961756723414754*100</f>
        <v>96.1756723414754</v>
      </c>
      <c r="AH32" s="352">
        <v>96.5</v>
      </c>
      <c r="AI32" s="352">
        <v>97.30123997082421</v>
      </c>
      <c r="AJ32" s="351">
        <f>0.969751809720786*100</f>
        <v>96.9751809720786</v>
      </c>
      <c r="AK32" s="248">
        <f t="shared" si="1"/>
        <v>-5.97958191541079</v>
      </c>
      <c r="AL32" s="225" t="s">
        <v>38</v>
      </c>
    </row>
    <row r="33" spans="1:38" ht="12.75" customHeight="1">
      <c r="A33" s="214"/>
      <c r="B33" s="221" t="s">
        <v>39</v>
      </c>
      <c r="C33" s="222">
        <v>4.64</v>
      </c>
      <c r="D33" s="222">
        <v>6.998</v>
      </c>
      <c r="E33" s="223">
        <v>6.6</v>
      </c>
      <c r="F33" s="223">
        <v>5.985</v>
      </c>
      <c r="G33" s="223">
        <v>5.963</v>
      </c>
      <c r="H33" s="223">
        <v>6.422</v>
      </c>
      <c r="I33" s="223">
        <v>6.507</v>
      </c>
      <c r="J33" s="223">
        <v>6.839</v>
      </c>
      <c r="K33" s="223">
        <v>6.97</v>
      </c>
      <c r="L33" s="223">
        <v>7.039</v>
      </c>
      <c r="M33" s="223">
        <v>7.23</v>
      </c>
      <c r="N33" s="223">
        <v>7.701</v>
      </c>
      <c r="O33" s="223">
        <v>8.243</v>
      </c>
      <c r="P33" s="223">
        <v>8.732</v>
      </c>
      <c r="Q33" s="223">
        <v>8.874</v>
      </c>
      <c r="R33" s="223">
        <v>8.834</v>
      </c>
      <c r="S33" s="223">
        <v>8.634</v>
      </c>
      <c r="T33" s="223">
        <v>8.91</v>
      </c>
      <c r="U33" s="223">
        <v>9.617</v>
      </c>
      <c r="V33" s="223">
        <v>10.261</v>
      </c>
      <c r="W33" s="223">
        <v>11.146</v>
      </c>
      <c r="X33" s="223">
        <v>11.321</v>
      </c>
      <c r="Y33" s="223">
        <v>11.155</v>
      </c>
      <c r="Z33" s="223">
        <v>11.379</v>
      </c>
      <c r="AA33" s="223">
        <v>11.792</v>
      </c>
      <c r="AB33" s="223">
        <v>11.842</v>
      </c>
      <c r="AC33" s="223">
        <v>12.121</v>
      </c>
      <c r="AD33" s="223">
        <v>12.741</v>
      </c>
      <c r="AE33" s="223">
        <v>12.8</v>
      </c>
      <c r="AF33" s="352">
        <v>46.530332848464106</v>
      </c>
      <c r="AG33" s="352">
        <v>50</v>
      </c>
      <c r="AH33" s="352">
        <v>49.8</v>
      </c>
      <c r="AI33" s="352">
        <v>49.94113491876619</v>
      </c>
      <c r="AJ33" s="351">
        <f>0.494453125*100</f>
        <v>49.4453125</v>
      </c>
      <c r="AK33" s="222">
        <f t="shared" si="1"/>
        <v>0.46307197237265996</v>
      </c>
      <c r="AL33" s="221" t="s">
        <v>39</v>
      </c>
    </row>
    <row r="34" spans="1:38" ht="12.75" customHeight="1">
      <c r="A34" s="214"/>
      <c r="B34" s="216" t="s">
        <v>28</v>
      </c>
      <c r="C34" s="448">
        <v>30.6</v>
      </c>
      <c r="D34" s="448">
        <v>30.5</v>
      </c>
      <c r="E34" s="447">
        <v>33.4</v>
      </c>
      <c r="F34" s="435">
        <v>32.7</v>
      </c>
      <c r="G34" s="218">
        <v>31.9</v>
      </c>
      <c r="H34" s="218">
        <v>30.6</v>
      </c>
      <c r="I34" s="218">
        <v>28.9</v>
      </c>
      <c r="J34" s="218">
        <f>30.039+0.2317</f>
        <v>30.2707</v>
      </c>
      <c r="K34" s="218">
        <f>32.135+0.2128</f>
        <v>32.3478</v>
      </c>
      <c r="L34" s="218">
        <f>34.66+0.2256</f>
        <v>34.8856</v>
      </c>
      <c r="M34" s="218">
        <f>36.28+0.2172</f>
        <v>36.4972</v>
      </c>
      <c r="N34" s="218">
        <f>38.472+0.2217</f>
        <v>38.6937</v>
      </c>
      <c r="O34" s="218">
        <f>38.179+0.2271</f>
        <v>38.4061</v>
      </c>
      <c r="P34" s="218">
        <f>39.141+0.2397</f>
        <v>39.3807</v>
      </c>
      <c r="Q34" s="218">
        <f>39.687+0.2363</f>
        <v>39.9233</v>
      </c>
      <c r="R34" s="218">
        <f>40.931+0.233</f>
        <v>41.163999999999994</v>
      </c>
      <c r="S34" s="218">
        <v>43.474</v>
      </c>
      <c r="T34" s="218">
        <v>44.642</v>
      </c>
      <c r="U34" s="218">
        <v>47.297</v>
      </c>
      <c r="V34" s="218">
        <v>50.474</v>
      </c>
      <c r="W34" s="218">
        <v>53.002</v>
      </c>
      <c r="X34" s="218">
        <v>52.765</v>
      </c>
      <c r="Y34" s="218">
        <v>55.831</v>
      </c>
      <c r="Z34" s="218">
        <v>58.462</v>
      </c>
      <c r="AA34" s="218">
        <v>60.783</v>
      </c>
      <c r="AB34" s="218">
        <v>61.95</v>
      </c>
      <c r="AC34" s="385">
        <v>64.711</v>
      </c>
      <c r="AD34" s="385">
        <v>66.594</v>
      </c>
      <c r="AE34" s="435">
        <v>68.01</v>
      </c>
      <c r="AF34" s="356">
        <v>96.1894919869429</v>
      </c>
      <c r="AG34" s="395">
        <v>95.48387096774194</v>
      </c>
      <c r="AH34" s="395">
        <v>96.1</v>
      </c>
      <c r="AI34" s="438">
        <v>96.90756098301893</v>
      </c>
      <c r="AJ34" s="436">
        <f>0.97038069259962*100</f>
        <v>97.038069259962</v>
      </c>
      <c r="AK34" s="217">
        <f t="shared" si="1"/>
        <v>2.126317686278071</v>
      </c>
      <c r="AL34" s="216" t="s">
        <v>28</v>
      </c>
    </row>
    <row r="35" spans="1:38" ht="12.75" customHeight="1">
      <c r="A35" s="214"/>
      <c r="B35" s="221" t="s">
        <v>112</v>
      </c>
      <c r="C35" s="222">
        <v>0.253</v>
      </c>
      <c r="D35" s="222">
        <v>0.369</v>
      </c>
      <c r="E35" s="223">
        <v>0.779</v>
      </c>
      <c r="F35" s="223">
        <v>0.318</v>
      </c>
      <c r="G35" s="223">
        <v>0.191</v>
      </c>
      <c r="H35" s="223">
        <v>0.223</v>
      </c>
      <c r="I35" s="223">
        <v>0.215</v>
      </c>
      <c r="J35" s="223">
        <v>0.197</v>
      </c>
      <c r="K35" s="223">
        <v>0.168</v>
      </c>
      <c r="L35" s="223">
        <v>0.095</v>
      </c>
      <c r="M35" s="223">
        <v>0.116</v>
      </c>
      <c r="N35" s="223">
        <v>0.121</v>
      </c>
      <c r="O35" s="223">
        <v>0.125</v>
      </c>
      <c r="P35" s="223">
        <v>0.138</v>
      </c>
      <c r="Q35" s="223">
        <v>0.123</v>
      </c>
      <c r="R35" s="223">
        <v>0.105</v>
      </c>
      <c r="S35" s="223">
        <v>0.089</v>
      </c>
      <c r="T35" s="223">
        <v>0.073</v>
      </c>
      <c r="U35" s="223">
        <v>0.08</v>
      </c>
      <c r="V35" s="223">
        <v>0.051</v>
      </c>
      <c r="W35" s="223">
        <v>0.041</v>
      </c>
      <c r="X35" s="223">
        <v>0.032</v>
      </c>
      <c r="Y35" s="223">
        <v>0.019</v>
      </c>
      <c r="Z35" s="223">
        <v>0.018</v>
      </c>
      <c r="AA35" s="223">
        <v>0.016</v>
      </c>
      <c r="AB35" s="223">
        <v>0.012</v>
      </c>
      <c r="AC35" s="223">
        <v>0.008</v>
      </c>
      <c r="AD35" s="223">
        <v>0.007</v>
      </c>
      <c r="AE35" s="223">
        <v>0.003</v>
      </c>
      <c r="AF35" s="353"/>
      <c r="AG35" s="352"/>
      <c r="AH35" s="352"/>
      <c r="AI35" s="352"/>
      <c r="AJ35" s="351"/>
      <c r="AK35" s="222">
        <f t="shared" si="1"/>
        <v>-57.142857142857146</v>
      </c>
      <c r="AL35" s="221" t="s">
        <v>112</v>
      </c>
    </row>
    <row r="36" spans="1:38" ht="12.75" customHeight="1">
      <c r="A36" s="214"/>
      <c r="B36" s="225" t="s">
        <v>104</v>
      </c>
      <c r="C36" s="248"/>
      <c r="D36" s="248"/>
      <c r="E36" s="227"/>
      <c r="F36" s="227"/>
      <c r="G36" s="227"/>
      <c r="H36" s="227"/>
      <c r="I36" s="227"/>
      <c r="J36" s="227"/>
      <c r="K36" s="227"/>
      <c r="L36" s="227"/>
      <c r="M36" s="227"/>
      <c r="N36" s="227"/>
      <c r="O36" s="227"/>
      <c r="P36" s="227"/>
      <c r="Q36" s="227"/>
      <c r="R36" s="227"/>
      <c r="S36" s="227"/>
      <c r="T36" s="227"/>
      <c r="U36" s="227"/>
      <c r="V36" s="227"/>
      <c r="W36" s="227"/>
      <c r="X36" s="227"/>
      <c r="Y36" s="227">
        <v>0.09066</v>
      </c>
      <c r="Z36" s="227">
        <v>0.0651</v>
      </c>
      <c r="AA36" s="227">
        <v>0.062</v>
      </c>
      <c r="AB36" s="227">
        <v>0.073</v>
      </c>
      <c r="AC36" s="227">
        <v>0.076</v>
      </c>
      <c r="AD36" s="227">
        <v>0.081</v>
      </c>
      <c r="AE36" s="227">
        <f>83897/1000000</f>
        <v>0.083897</v>
      </c>
      <c r="AF36" s="355"/>
      <c r="AG36" s="355"/>
      <c r="AH36" s="355"/>
      <c r="AI36" s="355"/>
      <c r="AJ36" s="354"/>
      <c r="AK36" s="248">
        <f t="shared" si="1"/>
        <v>3.5765432098765473</v>
      </c>
      <c r="AL36" s="225" t="s">
        <v>104</v>
      </c>
    </row>
    <row r="37" spans="1:38" ht="12.75" customHeight="1">
      <c r="A37" s="214"/>
      <c r="B37" s="221" t="s">
        <v>6</v>
      </c>
      <c r="C37" s="449"/>
      <c r="D37" s="449"/>
      <c r="E37" s="252"/>
      <c r="F37" s="223"/>
      <c r="G37" s="223"/>
      <c r="H37" s="223"/>
      <c r="I37" s="223"/>
      <c r="J37" s="242">
        <v>0.1</v>
      </c>
      <c r="K37" s="242">
        <v>0.1</v>
      </c>
      <c r="L37" s="242">
        <v>0.1</v>
      </c>
      <c r="M37" s="242">
        <v>0.1</v>
      </c>
      <c r="N37" s="242">
        <v>0.1</v>
      </c>
      <c r="O37" s="242">
        <v>0.1</v>
      </c>
      <c r="P37" s="223">
        <v>0.133</v>
      </c>
      <c r="Q37" s="223">
        <v>0.098</v>
      </c>
      <c r="R37" s="223">
        <v>0.092</v>
      </c>
      <c r="S37" s="223">
        <v>0.094</v>
      </c>
      <c r="T37" s="223">
        <v>0.094</v>
      </c>
      <c r="U37" s="223">
        <v>0.105</v>
      </c>
      <c r="V37" s="223">
        <v>0.109</v>
      </c>
      <c r="W37" s="223">
        <v>0.148</v>
      </c>
      <c r="X37" s="223">
        <v>0.154</v>
      </c>
      <c r="Y37" s="223">
        <f>0.155</f>
        <v>0.155</v>
      </c>
      <c r="Z37" s="223">
        <f>0.145</f>
        <v>0.145</v>
      </c>
      <c r="AA37" s="223">
        <f>0.099</f>
        <v>0.099</v>
      </c>
      <c r="AB37" s="223">
        <v>0.08</v>
      </c>
      <c r="AC37" s="223">
        <v>0.08</v>
      </c>
      <c r="AD37" s="223">
        <v>0.177</v>
      </c>
      <c r="AE37" s="223">
        <v>0.083</v>
      </c>
      <c r="AF37" s="355"/>
      <c r="AG37" s="355"/>
      <c r="AH37" s="355"/>
      <c r="AI37" s="355"/>
      <c r="AJ37" s="354"/>
      <c r="AK37" s="222">
        <f t="shared" si="1"/>
        <v>-53.10734463276835</v>
      </c>
      <c r="AL37" s="221" t="s">
        <v>6</v>
      </c>
    </row>
    <row r="38" spans="1:38" ht="12.75" customHeight="1">
      <c r="A38" s="214"/>
      <c r="B38" s="225" t="s">
        <v>105</v>
      </c>
      <c r="C38" s="450">
        <v>3.671</v>
      </c>
      <c r="D38" s="450">
        <v>3.352</v>
      </c>
      <c r="E38" s="303">
        <v>4.452</v>
      </c>
      <c r="F38" s="227">
        <v>2.675</v>
      </c>
      <c r="G38" s="227">
        <v>2.544</v>
      </c>
      <c r="H38" s="227">
        <v>3.076</v>
      </c>
      <c r="I38" s="227">
        <v>2.299</v>
      </c>
      <c r="J38" s="237">
        <v>2.326</v>
      </c>
      <c r="K38" s="237">
        <v>1.415</v>
      </c>
      <c r="L38" s="237">
        <v>1.304</v>
      </c>
      <c r="M38" s="237">
        <v>1.368</v>
      </c>
      <c r="N38" s="237">
        <v>0.789</v>
      </c>
      <c r="O38" s="237">
        <v>1.236</v>
      </c>
      <c r="P38" s="227">
        <v>1.047</v>
      </c>
      <c r="Q38" s="227">
        <v>0.954</v>
      </c>
      <c r="R38" s="227">
        <v>0.809</v>
      </c>
      <c r="S38" s="227">
        <v>0.821</v>
      </c>
      <c r="T38" s="227">
        <v>0.713</v>
      </c>
      <c r="U38" s="227">
        <v>0.684</v>
      </c>
      <c r="V38" s="227">
        <v>0.687</v>
      </c>
      <c r="W38" s="227">
        <v>0.583</v>
      </c>
      <c r="X38" s="227">
        <v>0.522</v>
      </c>
      <c r="Y38" s="227">
        <v>0.522</v>
      </c>
      <c r="Z38" s="227">
        <v>0.541</v>
      </c>
      <c r="AA38" s="227">
        <v>0.54</v>
      </c>
      <c r="AB38" s="227">
        <v>0.612</v>
      </c>
      <c r="AC38" s="227">
        <v>0.453</v>
      </c>
      <c r="AD38" s="227">
        <v>0.509</v>
      </c>
      <c r="AE38" s="227">
        <v>0.438</v>
      </c>
      <c r="AF38" s="355"/>
      <c r="AG38" s="355"/>
      <c r="AH38" s="355"/>
      <c r="AI38" s="355"/>
      <c r="AJ38" s="354"/>
      <c r="AK38" s="248">
        <f t="shared" si="1"/>
        <v>-13.948919449901766</v>
      </c>
      <c r="AL38" s="225" t="s">
        <v>105</v>
      </c>
    </row>
    <row r="39" spans="1:38" s="235" customFormat="1" ht="12.75" customHeight="1">
      <c r="A39" s="240"/>
      <c r="B39" s="229" t="s">
        <v>24</v>
      </c>
      <c r="C39" s="222">
        <v>5.561</v>
      </c>
      <c r="D39" s="222">
        <v>6.011</v>
      </c>
      <c r="E39" s="223">
        <v>6.41</v>
      </c>
      <c r="F39" s="223">
        <v>6.048</v>
      </c>
      <c r="G39" s="223">
        <v>6.259</v>
      </c>
      <c r="H39" s="223">
        <v>7.147</v>
      </c>
      <c r="I39" s="223">
        <v>6.335</v>
      </c>
      <c r="J39" s="223">
        <v>5.797</v>
      </c>
      <c r="K39" s="223">
        <v>5.229</v>
      </c>
      <c r="L39" s="223">
        <v>5.84</v>
      </c>
      <c r="M39" s="223">
        <v>6.16</v>
      </c>
      <c r="N39" s="223">
        <v>6.146</v>
      </c>
      <c r="O39" s="223">
        <v>5.832</v>
      </c>
      <c r="P39" s="223">
        <v>5.568</v>
      </c>
      <c r="Q39" s="223">
        <v>5.204</v>
      </c>
      <c r="R39" s="223">
        <v>5.878</v>
      </c>
      <c r="S39" s="223">
        <v>5.237</v>
      </c>
      <c r="T39" s="223">
        <v>5.036</v>
      </c>
      <c r="U39" s="223">
        <v>5.277</v>
      </c>
      <c r="V39" s="223">
        <v>5.553</v>
      </c>
      <c r="W39" s="223">
        <v>5.097</v>
      </c>
      <c r="X39" s="223">
        <v>5.374</v>
      </c>
      <c r="Y39" s="223">
        <v>5.491</v>
      </c>
      <c r="Z39" s="223">
        <f>5.882</f>
        <v>5.882</v>
      </c>
      <c r="AA39" s="223">
        <v>4.598</v>
      </c>
      <c r="AB39" s="223">
        <v>3.775</v>
      </c>
      <c r="AC39" s="223">
        <v>4.393</v>
      </c>
      <c r="AD39" s="223">
        <v>4.828</v>
      </c>
      <c r="AE39" s="223">
        <v>4.325</v>
      </c>
      <c r="AF39" s="355"/>
      <c r="AG39" s="355"/>
      <c r="AH39" s="355"/>
      <c r="AI39" s="355"/>
      <c r="AJ39" s="354"/>
      <c r="AK39" s="230">
        <f t="shared" si="1"/>
        <v>-10.418392709196354</v>
      </c>
      <c r="AL39" s="229" t="s">
        <v>24</v>
      </c>
    </row>
    <row r="40" spans="1:38" s="235" customFormat="1" ht="12.75" customHeight="1">
      <c r="A40" s="240"/>
      <c r="B40" s="225" t="s">
        <v>10</v>
      </c>
      <c r="C40" s="326" t="s">
        <v>43</v>
      </c>
      <c r="D40" s="326"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67" t="s">
        <v>43</v>
      </c>
      <c r="AG40" s="353" t="s">
        <v>43</v>
      </c>
      <c r="AH40" s="367" t="s">
        <v>43</v>
      </c>
      <c r="AI40" s="367" t="s">
        <v>43</v>
      </c>
      <c r="AJ40" s="416" t="s">
        <v>43</v>
      </c>
      <c r="AK40" s="326" t="s">
        <v>43</v>
      </c>
      <c r="AL40" s="225" t="s">
        <v>10</v>
      </c>
    </row>
    <row r="41" spans="1:38" ht="12.75" customHeight="1">
      <c r="A41" s="214"/>
      <c r="B41" s="221" t="s">
        <v>40</v>
      </c>
      <c r="C41" s="222">
        <v>1.86</v>
      </c>
      <c r="D41" s="222">
        <v>2.394</v>
      </c>
      <c r="E41" s="223">
        <v>2.104</v>
      </c>
      <c r="F41" s="223">
        <v>2.15</v>
      </c>
      <c r="G41" s="223">
        <v>2.256</v>
      </c>
      <c r="H41" s="223">
        <v>2.316</v>
      </c>
      <c r="I41" s="223">
        <v>2.398</v>
      </c>
      <c r="J41" s="223">
        <v>2.381</v>
      </c>
      <c r="K41" s="223">
        <v>2.449</v>
      </c>
      <c r="L41" s="223">
        <v>2.561</v>
      </c>
      <c r="M41" s="223">
        <v>2.59</v>
      </c>
      <c r="N41" s="223">
        <v>2.674</v>
      </c>
      <c r="O41" s="223">
        <v>2.635</v>
      </c>
      <c r="P41" s="223">
        <v>2.677</v>
      </c>
      <c r="Q41" s="223">
        <v>2.477</v>
      </c>
      <c r="R41" s="223">
        <v>2.381</v>
      </c>
      <c r="S41" s="223">
        <v>2.62</v>
      </c>
      <c r="T41" s="223">
        <v>2.723</v>
      </c>
      <c r="U41" s="223">
        <v>2.833</v>
      </c>
      <c r="V41" s="223">
        <v>2.958</v>
      </c>
      <c r="W41" s="223">
        <v>3.123</v>
      </c>
      <c r="X41" s="223">
        <v>3.08</v>
      </c>
      <c r="Y41" s="223">
        <v>3.186</v>
      </c>
      <c r="Z41" s="223">
        <v>3.076</v>
      </c>
      <c r="AA41" s="223">
        <v>3.092</v>
      </c>
      <c r="AB41" s="223">
        <v>3.26</v>
      </c>
      <c r="AC41" s="223">
        <v>3.44</v>
      </c>
      <c r="AD41" s="223">
        <v>3.555</v>
      </c>
      <c r="AE41" s="223">
        <v>3.695</v>
      </c>
      <c r="AF41" s="352">
        <v>74.14116177389131</v>
      </c>
      <c r="AG41" s="352">
        <v>74.57783236106846</v>
      </c>
      <c r="AH41" s="352">
        <v>74.4</v>
      </c>
      <c r="AI41" s="352">
        <v>44.872513309050156</v>
      </c>
      <c r="AJ41" s="351">
        <f>0.988950874722418*100</f>
        <v>98.89508747224181</v>
      </c>
      <c r="AK41" s="222">
        <f t="shared" si="1"/>
        <v>3.9381153305203753</v>
      </c>
      <c r="AL41" s="221" t="s">
        <v>40</v>
      </c>
    </row>
    <row r="42" spans="1:38" s="235" customFormat="1" ht="12.75" customHeight="1">
      <c r="A42" s="240"/>
      <c r="B42" s="216" t="s">
        <v>11</v>
      </c>
      <c r="C42" s="217">
        <v>9.339</v>
      </c>
      <c r="D42" s="217">
        <v>9.964</v>
      </c>
      <c r="E42" s="218">
        <v>12.68</v>
      </c>
      <c r="F42" s="218">
        <v>13.83</v>
      </c>
      <c r="G42" s="218">
        <v>13.21</v>
      </c>
      <c r="H42" s="218">
        <v>13.38</v>
      </c>
      <c r="I42" s="218">
        <v>13.84</v>
      </c>
      <c r="J42" s="218">
        <v>11.71</v>
      </c>
      <c r="K42" s="218">
        <v>11.89</v>
      </c>
      <c r="L42" s="218">
        <v>12.05</v>
      </c>
      <c r="M42" s="218">
        <v>12.15</v>
      </c>
      <c r="N42" s="218">
        <v>12.5</v>
      </c>
      <c r="O42" s="218">
        <v>12.62</v>
      </c>
      <c r="P42" s="218">
        <v>13.301</v>
      </c>
      <c r="Q42" s="218">
        <v>14.147</v>
      </c>
      <c r="R42" s="218">
        <v>14.509</v>
      </c>
      <c r="S42" s="218">
        <v>14.914</v>
      </c>
      <c r="T42" s="218">
        <v>16.144</v>
      </c>
      <c r="U42" s="218">
        <v>16.578</v>
      </c>
      <c r="V42" s="218">
        <v>17.434</v>
      </c>
      <c r="W42" s="218">
        <v>17.7755</v>
      </c>
      <c r="X42" s="218">
        <v>18.570700000000002</v>
      </c>
      <c r="Y42" s="218">
        <v>19.176599999999997</v>
      </c>
      <c r="Z42" s="218">
        <v>19.471400000000003</v>
      </c>
      <c r="AA42" s="218">
        <v>19.262400000000003</v>
      </c>
      <c r="AB42" s="218">
        <v>19.447200000000002</v>
      </c>
      <c r="AC42" s="385">
        <v>20.0102</v>
      </c>
      <c r="AD42" s="385">
        <v>20.3893</v>
      </c>
      <c r="AE42" s="435">
        <v>20.812</v>
      </c>
      <c r="AF42" s="350"/>
      <c r="AG42" s="396"/>
      <c r="AH42" s="396"/>
      <c r="AI42" s="439"/>
      <c r="AJ42" s="437"/>
      <c r="AK42" s="217">
        <f t="shared" si="1"/>
        <v>2.0731462090410275</v>
      </c>
      <c r="AL42" s="216" t="s">
        <v>11</v>
      </c>
    </row>
    <row r="43" spans="1:38" ht="12.75" customHeight="1">
      <c r="A43" s="214"/>
      <c r="B43" s="524" t="s">
        <v>146</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row>
    <row r="44" spans="1:38" s="235" customFormat="1" ht="12.75" customHeight="1">
      <c r="A44" s="240"/>
      <c r="B44" s="349" t="s">
        <v>127</v>
      </c>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row>
    <row r="45" ht="18.75" customHeight="1">
      <c r="B45" s="300" t="s">
        <v>145</v>
      </c>
    </row>
    <row r="46" ht="15.75" customHeight="1"/>
    <row r="47" spans="2:13" ht="12.75">
      <c r="B47"/>
      <c r="C47"/>
      <c r="D47"/>
      <c r="E47"/>
      <c r="F47"/>
      <c r="G47"/>
      <c r="H47"/>
      <c r="I47"/>
      <c r="J47"/>
      <c r="K47"/>
      <c r="L47"/>
      <c r="M47"/>
    </row>
  </sheetData>
  <sheetProtection/>
  <mergeCells count="2">
    <mergeCell ref="B2:AL2"/>
    <mergeCell ref="B43:AL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T55"/>
  <sheetViews>
    <sheetView zoomScalePageLayoutView="0" workbookViewId="0" topLeftCell="F34">
      <selection activeCell="S29" sqref="S29"/>
    </sheetView>
  </sheetViews>
  <sheetFormatPr defaultColWidth="9.140625" defaultRowHeight="12.75"/>
  <cols>
    <col min="1" max="1" width="3.28125" style="0" customWidth="1"/>
    <col min="2" max="2" width="5.7109375" style="0" customWidth="1"/>
    <col min="3" max="3" width="4.1406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6.8515625" style="0" customWidth="1"/>
    <col min="18" max="18" width="6.7109375" style="0" customWidth="1"/>
  </cols>
  <sheetData>
    <row r="1" spans="3:18" ht="14.25" customHeight="1">
      <c r="C1" s="529"/>
      <c r="D1" s="529"/>
      <c r="E1" s="87"/>
      <c r="F1" s="43"/>
      <c r="G1" s="43"/>
      <c r="H1" s="43"/>
      <c r="I1" s="43"/>
      <c r="J1" s="43"/>
      <c r="K1" s="43"/>
      <c r="L1" s="43"/>
      <c r="M1" s="43"/>
      <c r="N1" s="43"/>
      <c r="O1" s="43"/>
      <c r="P1" s="44"/>
      <c r="R1" s="63" t="s">
        <v>92</v>
      </c>
    </row>
    <row r="2" spans="3:18" s="19" customFormat="1" ht="30" customHeight="1">
      <c r="C2" s="530" t="s">
        <v>61</v>
      </c>
      <c r="D2" s="530"/>
      <c r="E2" s="530"/>
      <c r="F2" s="530"/>
      <c r="G2" s="530"/>
      <c r="H2" s="530"/>
      <c r="I2" s="530"/>
      <c r="J2" s="530"/>
      <c r="K2" s="530"/>
      <c r="L2" s="530"/>
      <c r="M2" s="530"/>
      <c r="N2" s="530"/>
      <c r="O2" s="530"/>
      <c r="P2" s="530"/>
      <c r="Q2" s="530"/>
      <c r="R2" s="530"/>
    </row>
    <row r="3" spans="3:17" ht="10.5" customHeight="1">
      <c r="C3" s="531" t="s">
        <v>108</v>
      </c>
      <c r="D3" s="532"/>
      <c r="E3" s="532"/>
      <c r="F3" s="532"/>
      <c r="G3" s="532"/>
      <c r="H3" s="532"/>
      <c r="I3" s="532"/>
      <c r="J3" s="532"/>
      <c r="K3" s="532"/>
      <c r="L3" s="532"/>
      <c r="M3" s="532"/>
      <c r="N3" s="532"/>
      <c r="O3" s="532"/>
      <c r="P3" s="532"/>
      <c r="Q3" s="532"/>
    </row>
    <row r="4" spans="3:18" ht="24.75" customHeight="1">
      <c r="C4" s="45"/>
      <c r="D4" s="59" t="s">
        <v>29</v>
      </c>
      <c r="E4" s="59" t="s">
        <v>14</v>
      </c>
      <c r="F4" s="59" t="s">
        <v>30</v>
      </c>
      <c r="G4" s="60" t="s">
        <v>31</v>
      </c>
      <c r="H4" s="59" t="s">
        <v>32</v>
      </c>
      <c r="I4" s="59" t="s">
        <v>34</v>
      </c>
      <c r="J4" s="59" t="s">
        <v>27</v>
      </c>
      <c r="K4" s="197" t="s">
        <v>20</v>
      </c>
      <c r="L4" s="59" t="s">
        <v>37</v>
      </c>
      <c r="M4" s="59" t="s">
        <v>23</v>
      </c>
      <c r="N4" s="59" t="s">
        <v>38</v>
      </c>
      <c r="O4" s="59" t="s">
        <v>39</v>
      </c>
      <c r="P4" s="60" t="s">
        <v>28</v>
      </c>
      <c r="Q4" s="196" t="s">
        <v>113</v>
      </c>
      <c r="R4" s="121" t="s">
        <v>79</v>
      </c>
    </row>
    <row r="5" spans="3:18" ht="15" customHeight="1">
      <c r="C5" s="61">
        <v>1990</v>
      </c>
      <c r="D5" s="134" t="s">
        <v>43</v>
      </c>
      <c r="E5" s="133" t="s">
        <v>43</v>
      </c>
      <c r="F5" s="133" t="s">
        <v>43</v>
      </c>
      <c r="G5" s="133" t="s">
        <v>43</v>
      </c>
      <c r="H5" s="119">
        <v>14.92</v>
      </c>
      <c r="I5" s="119">
        <v>0.3</v>
      </c>
      <c r="J5" s="133" t="s">
        <v>43</v>
      </c>
      <c r="K5" s="433" t="s">
        <v>43</v>
      </c>
      <c r="L5" s="133" t="s">
        <v>43</v>
      </c>
      <c r="M5" s="133" t="s">
        <v>43</v>
      </c>
      <c r="N5" s="133" t="s">
        <v>43</v>
      </c>
      <c r="O5" s="133">
        <v>0.006</v>
      </c>
      <c r="P5" s="133" t="s">
        <v>43</v>
      </c>
      <c r="Q5" s="124">
        <f>SUM(D5:P5)</f>
        <v>15.226</v>
      </c>
      <c r="R5" s="135"/>
    </row>
    <row r="6" spans="3:18" ht="15" customHeight="1">
      <c r="C6" s="62">
        <v>1991</v>
      </c>
      <c r="D6" s="127" t="s">
        <v>43</v>
      </c>
      <c r="E6" s="118" t="s">
        <v>43</v>
      </c>
      <c r="F6" s="42">
        <v>2</v>
      </c>
      <c r="G6" s="118" t="s">
        <v>43</v>
      </c>
      <c r="H6" s="42">
        <v>17.87</v>
      </c>
      <c r="I6" s="42">
        <v>0.4</v>
      </c>
      <c r="J6" s="118" t="s">
        <v>43</v>
      </c>
      <c r="K6" s="434" t="s">
        <v>43</v>
      </c>
      <c r="L6" s="118" t="s">
        <v>43</v>
      </c>
      <c r="M6" s="118" t="s">
        <v>43</v>
      </c>
      <c r="N6" s="118" t="s">
        <v>43</v>
      </c>
      <c r="O6" s="42">
        <v>0.094</v>
      </c>
      <c r="P6" s="118" t="s">
        <v>43</v>
      </c>
      <c r="Q6" s="125">
        <f aca="true" t="shared" si="0" ref="Q6:Q31">SUM(D6:P6)</f>
        <v>20.364</v>
      </c>
      <c r="R6" s="122">
        <f>Q6/Q5-1</f>
        <v>0.3374491002233022</v>
      </c>
    </row>
    <row r="7" spans="3:18" ht="15" customHeight="1">
      <c r="C7" s="62">
        <v>1992</v>
      </c>
      <c r="D7" s="127" t="s">
        <v>43</v>
      </c>
      <c r="E7" s="118" t="s">
        <v>43</v>
      </c>
      <c r="F7" s="42">
        <v>5.2</v>
      </c>
      <c r="G7" s="42">
        <v>0.4</v>
      </c>
      <c r="H7" s="42">
        <v>18.96</v>
      </c>
      <c r="I7" s="42">
        <v>0.4</v>
      </c>
      <c r="J7" s="118" t="s">
        <v>43</v>
      </c>
      <c r="K7" s="434" t="s">
        <v>43</v>
      </c>
      <c r="L7" s="118" t="s">
        <v>43</v>
      </c>
      <c r="M7" s="118" t="s">
        <v>43</v>
      </c>
      <c r="N7" s="118" t="s">
        <v>43</v>
      </c>
      <c r="O7" s="42">
        <v>0.154</v>
      </c>
      <c r="P7" s="118" t="s">
        <v>43</v>
      </c>
      <c r="Q7" s="125">
        <f t="shared" si="0"/>
        <v>25.114</v>
      </c>
      <c r="R7" s="122">
        <f aca="true" t="shared" si="1" ref="R7:R31">Q7/Q6-1</f>
        <v>0.23325476330779815</v>
      </c>
    </row>
    <row r="8" spans="2:18" ht="15" customHeight="1">
      <c r="B8" s="2"/>
      <c r="C8" s="62">
        <v>1993</v>
      </c>
      <c r="D8" s="127" t="s">
        <v>43</v>
      </c>
      <c r="E8" s="118" t="s">
        <v>43</v>
      </c>
      <c r="F8" s="42">
        <v>7</v>
      </c>
      <c r="G8" s="42">
        <v>0.9</v>
      </c>
      <c r="H8" s="42">
        <v>18.93</v>
      </c>
      <c r="I8" s="42">
        <v>0.5</v>
      </c>
      <c r="J8" s="118" t="s">
        <v>43</v>
      </c>
      <c r="K8" s="434" t="s">
        <v>43</v>
      </c>
      <c r="L8" s="118" t="s">
        <v>43</v>
      </c>
      <c r="M8" s="118" t="s">
        <v>43</v>
      </c>
      <c r="N8" s="118" t="s">
        <v>43</v>
      </c>
      <c r="O8" s="42">
        <v>0.272</v>
      </c>
      <c r="P8" s="118" t="s">
        <v>43</v>
      </c>
      <c r="Q8" s="125">
        <f t="shared" si="0"/>
        <v>27.601999999999997</v>
      </c>
      <c r="R8" s="122">
        <f t="shared" si="1"/>
        <v>0.09906824878553788</v>
      </c>
    </row>
    <row r="9" spans="2:18" ht="15" customHeight="1">
      <c r="B9" s="2"/>
      <c r="C9" s="62">
        <v>1994</v>
      </c>
      <c r="D9" s="127" t="s">
        <v>43</v>
      </c>
      <c r="E9" s="118" t="s">
        <v>43</v>
      </c>
      <c r="F9" s="42">
        <v>8.2</v>
      </c>
      <c r="G9" s="42">
        <v>0.9</v>
      </c>
      <c r="H9" s="42">
        <v>20.51</v>
      </c>
      <c r="I9" s="42">
        <v>0.8</v>
      </c>
      <c r="J9" s="118" t="s">
        <v>43</v>
      </c>
      <c r="K9" s="434" t="s">
        <v>43</v>
      </c>
      <c r="L9" s="118" t="s">
        <v>43</v>
      </c>
      <c r="M9" s="118" t="s">
        <v>43</v>
      </c>
      <c r="N9" s="118" t="s">
        <v>43</v>
      </c>
      <c r="O9" s="42">
        <v>0.305</v>
      </c>
      <c r="P9" s="379" t="s">
        <v>43</v>
      </c>
      <c r="Q9" s="126">
        <f t="shared" si="0"/>
        <v>30.715</v>
      </c>
      <c r="R9" s="122">
        <f t="shared" si="1"/>
        <v>0.11278168248677645</v>
      </c>
    </row>
    <row r="10" spans="3:18" ht="15" customHeight="1">
      <c r="C10" s="62">
        <v>1995</v>
      </c>
      <c r="D10" s="127" t="s">
        <v>43</v>
      </c>
      <c r="E10" s="118" t="s">
        <v>43</v>
      </c>
      <c r="F10" s="42">
        <v>8.7</v>
      </c>
      <c r="G10" s="42">
        <v>1.294</v>
      </c>
      <c r="H10" s="42">
        <v>21.43</v>
      </c>
      <c r="I10" s="42">
        <v>1.1</v>
      </c>
      <c r="J10" s="118" t="s">
        <v>43</v>
      </c>
      <c r="K10" s="434" t="s">
        <v>43</v>
      </c>
      <c r="L10" s="118" t="s">
        <v>43</v>
      </c>
      <c r="M10" s="118" t="s">
        <v>43</v>
      </c>
      <c r="N10" s="118" t="s">
        <v>43</v>
      </c>
      <c r="O10" s="42">
        <v>0.415</v>
      </c>
      <c r="P10" s="379" t="s">
        <v>43</v>
      </c>
      <c r="Q10" s="126">
        <f t="shared" si="0"/>
        <v>32.939</v>
      </c>
      <c r="R10" s="122">
        <f t="shared" si="1"/>
        <v>0.07240761842747845</v>
      </c>
    </row>
    <row r="11" spans="3:18" ht="15" customHeight="1">
      <c r="C11" s="62">
        <v>1996</v>
      </c>
      <c r="D11" s="127">
        <v>0.32</v>
      </c>
      <c r="E11" s="118" t="s">
        <v>43</v>
      </c>
      <c r="F11" s="42">
        <v>8.85</v>
      </c>
      <c r="G11" s="42">
        <v>1.1</v>
      </c>
      <c r="H11" s="42">
        <v>24.79</v>
      </c>
      <c r="I11" s="42">
        <v>1.3</v>
      </c>
      <c r="J11" s="118">
        <v>0.031</v>
      </c>
      <c r="K11" s="434" t="s">
        <v>43</v>
      </c>
      <c r="L11" s="118" t="s">
        <v>43</v>
      </c>
      <c r="M11" s="118" t="s">
        <v>43</v>
      </c>
      <c r="N11" s="118">
        <v>0.024</v>
      </c>
      <c r="O11" s="42">
        <v>1.101</v>
      </c>
      <c r="P11" s="379" t="s">
        <v>43</v>
      </c>
      <c r="Q11" s="126">
        <f t="shared" si="0"/>
        <v>37.516</v>
      </c>
      <c r="R11" s="122">
        <f t="shared" si="1"/>
        <v>0.1389538237347825</v>
      </c>
    </row>
    <row r="12" spans="3:18" ht="15" customHeight="1">
      <c r="C12" s="62">
        <v>1997</v>
      </c>
      <c r="D12" s="120">
        <v>0.555</v>
      </c>
      <c r="E12" s="118" t="s">
        <v>43</v>
      </c>
      <c r="F12" s="42">
        <v>10.073</v>
      </c>
      <c r="G12" s="42">
        <v>1.3</v>
      </c>
      <c r="H12" s="42">
        <v>27.58</v>
      </c>
      <c r="I12" s="42">
        <v>2.4</v>
      </c>
      <c r="J12" s="118">
        <v>0.073</v>
      </c>
      <c r="K12" s="434" t="s">
        <v>43</v>
      </c>
      <c r="L12" s="118" t="s">
        <v>43</v>
      </c>
      <c r="M12" s="118" t="s">
        <v>43</v>
      </c>
      <c r="N12" s="118">
        <v>0.053</v>
      </c>
      <c r="O12" s="42">
        <v>1.328</v>
      </c>
      <c r="P12" s="379" t="s">
        <v>43</v>
      </c>
      <c r="Q12" s="126">
        <f t="shared" si="0"/>
        <v>43.361999999999995</v>
      </c>
      <c r="R12" s="122">
        <f t="shared" si="1"/>
        <v>0.15582684721185625</v>
      </c>
    </row>
    <row r="13" spans="3:18" ht="15" customHeight="1">
      <c r="C13" s="62">
        <v>1998</v>
      </c>
      <c r="D13" s="120">
        <v>0.788</v>
      </c>
      <c r="E13" s="118" t="s">
        <v>43</v>
      </c>
      <c r="F13" s="42">
        <v>10.155</v>
      </c>
      <c r="G13" s="42">
        <v>1.516</v>
      </c>
      <c r="H13" s="42">
        <v>29.98</v>
      </c>
      <c r="I13" s="42">
        <v>3.638</v>
      </c>
      <c r="J13" s="42">
        <v>0.09</v>
      </c>
      <c r="K13" s="379" t="s">
        <v>43</v>
      </c>
      <c r="L13" s="118" t="s">
        <v>43</v>
      </c>
      <c r="M13" s="118" t="s">
        <v>43</v>
      </c>
      <c r="N13" s="42">
        <v>0.056</v>
      </c>
      <c r="O13" s="42">
        <v>1.605</v>
      </c>
      <c r="P13" s="379" t="s">
        <v>43</v>
      </c>
      <c r="Q13" s="126">
        <f t="shared" si="0"/>
        <v>47.827999999999996</v>
      </c>
      <c r="R13" s="122">
        <f t="shared" si="1"/>
        <v>0.10299340436326743</v>
      </c>
    </row>
    <row r="14" spans="3:18" ht="15" customHeight="1">
      <c r="C14" s="62">
        <v>1999</v>
      </c>
      <c r="D14" s="120">
        <v>0.804</v>
      </c>
      <c r="E14" s="118" t="s">
        <v>43</v>
      </c>
      <c r="F14" s="42">
        <v>11.591</v>
      </c>
      <c r="G14" s="42">
        <v>1.674</v>
      </c>
      <c r="H14" s="42">
        <v>32.36</v>
      </c>
      <c r="I14" s="42">
        <v>4.464</v>
      </c>
      <c r="J14" s="42">
        <v>0.1</v>
      </c>
      <c r="K14" s="379" t="s">
        <v>43</v>
      </c>
      <c r="L14" s="118" t="s">
        <v>43</v>
      </c>
      <c r="M14" s="118" t="s">
        <v>43</v>
      </c>
      <c r="N14" s="42">
        <v>0.054</v>
      </c>
      <c r="O14" s="42">
        <v>1.812</v>
      </c>
      <c r="P14" s="379" t="s">
        <v>43</v>
      </c>
      <c r="Q14" s="126">
        <f t="shared" si="0"/>
        <v>52.859</v>
      </c>
      <c r="R14" s="122">
        <f t="shared" si="1"/>
        <v>0.10518942878648496</v>
      </c>
    </row>
    <row r="15" spans="3:18" ht="15" customHeight="1">
      <c r="C15" s="62">
        <v>2000</v>
      </c>
      <c r="D15" s="120">
        <v>0.865</v>
      </c>
      <c r="E15" s="118" t="s">
        <v>43</v>
      </c>
      <c r="F15" s="42">
        <v>13.925</v>
      </c>
      <c r="G15" s="42">
        <v>1.942</v>
      </c>
      <c r="H15" s="42">
        <v>34.747</v>
      </c>
      <c r="I15" s="42">
        <v>5.086</v>
      </c>
      <c r="J15" s="42">
        <v>0.113</v>
      </c>
      <c r="K15" s="379" t="s">
        <v>43</v>
      </c>
      <c r="L15" s="118" t="s">
        <v>43</v>
      </c>
      <c r="M15" s="118" t="s">
        <v>43</v>
      </c>
      <c r="N15" s="42">
        <v>0.071</v>
      </c>
      <c r="O15" s="42">
        <v>2.047</v>
      </c>
      <c r="P15" s="379" t="s">
        <v>43</v>
      </c>
      <c r="Q15" s="126">
        <f t="shared" si="0"/>
        <v>58.79599999999999</v>
      </c>
      <c r="R15" s="122">
        <f t="shared" si="1"/>
        <v>0.11231767532492087</v>
      </c>
    </row>
    <row r="16" spans="3:18" ht="15" customHeight="1">
      <c r="C16" s="62">
        <v>2001</v>
      </c>
      <c r="D16" s="120">
        <v>0.889</v>
      </c>
      <c r="E16" s="118" t="s">
        <v>43</v>
      </c>
      <c r="F16" s="42">
        <v>15.515</v>
      </c>
      <c r="G16" s="42">
        <v>2.077</v>
      </c>
      <c r="H16" s="42">
        <v>37.404</v>
      </c>
      <c r="I16" s="42">
        <v>6.763</v>
      </c>
      <c r="J16" s="42">
        <v>0.191</v>
      </c>
      <c r="K16" s="379" t="s">
        <v>43</v>
      </c>
      <c r="L16" s="118" t="s">
        <v>43</v>
      </c>
      <c r="M16" s="118" t="s">
        <v>43</v>
      </c>
      <c r="N16" s="42">
        <v>0.06</v>
      </c>
      <c r="O16" s="42">
        <v>2.227</v>
      </c>
      <c r="P16" s="379" t="s">
        <v>43</v>
      </c>
      <c r="Q16" s="126">
        <f t="shared" si="0"/>
        <v>65.126</v>
      </c>
      <c r="R16" s="122">
        <f t="shared" si="1"/>
        <v>0.10766038506020847</v>
      </c>
    </row>
    <row r="17" spans="3:18" ht="15" customHeight="1">
      <c r="C17" s="62">
        <v>2002</v>
      </c>
      <c r="D17" s="120">
        <v>0.909</v>
      </c>
      <c r="E17" s="118" t="s">
        <v>43</v>
      </c>
      <c r="F17" s="42">
        <v>15.255</v>
      </c>
      <c r="G17" s="42">
        <v>2.181</v>
      </c>
      <c r="H17" s="42">
        <v>39.856</v>
      </c>
      <c r="I17" s="42">
        <v>7.078</v>
      </c>
      <c r="J17" s="42">
        <v>0.201</v>
      </c>
      <c r="K17" s="379" t="s">
        <v>43</v>
      </c>
      <c r="L17" s="118" t="s">
        <v>43</v>
      </c>
      <c r="M17" s="118" t="s">
        <v>43</v>
      </c>
      <c r="N17" s="42">
        <v>0.135</v>
      </c>
      <c r="O17" s="42">
        <v>2.39</v>
      </c>
      <c r="P17" s="379" t="s">
        <v>43</v>
      </c>
      <c r="Q17" s="126">
        <f t="shared" si="0"/>
        <v>68.00500000000001</v>
      </c>
      <c r="R17" s="122">
        <f t="shared" si="1"/>
        <v>0.044206614869637395</v>
      </c>
    </row>
    <row r="18" spans="3:18" ht="15" customHeight="1">
      <c r="C18" s="62">
        <v>2003</v>
      </c>
      <c r="D18" s="120">
        <v>0.878</v>
      </c>
      <c r="E18" s="118" t="s">
        <v>43</v>
      </c>
      <c r="F18" s="42">
        <v>17.457</v>
      </c>
      <c r="G18" s="42">
        <v>2.027</v>
      </c>
      <c r="H18" s="42">
        <v>39.604</v>
      </c>
      <c r="I18" s="42">
        <v>7.431</v>
      </c>
      <c r="J18" s="42">
        <v>0.664</v>
      </c>
      <c r="K18" s="379" t="s">
        <v>43</v>
      </c>
      <c r="L18" s="118" t="s">
        <v>43</v>
      </c>
      <c r="M18" s="118" t="s">
        <v>43</v>
      </c>
      <c r="N18" s="42">
        <v>0.2</v>
      </c>
      <c r="O18" s="42">
        <v>2.4</v>
      </c>
      <c r="P18" s="379" t="s">
        <v>43</v>
      </c>
      <c r="Q18" s="126">
        <f t="shared" si="0"/>
        <v>70.66100000000002</v>
      </c>
      <c r="R18" s="122">
        <f t="shared" si="1"/>
        <v>0.039055951768252495</v>
      </c>
    </row>
    <row r="19" spans="3:18" ht="15" customHeight="1">
      <c r="C19" s="62">
        <v>2004</v>
      </c>
      <c r="D19" s="120">
        <v>0.94</v>
      </c>
      <c r="E19" s="42">
        <v>0.001</v>
      </c>
      <c r="F19" s="42">
        <v>19.604</v>
      </c>
      <c r="G19" s="42">
        <v>2.085</v>
      </c>
      <c r="H19" s="42">
        <v>41.439</v>
      </c>
      <c r="I19" s="42">
        <v>7.925</v>
      </c>
      <c r="J19" s="42">
        <v>0.657</v>
      </c>
      <c r="K19" s="379" t="s">
        <v>43</v>
      </c>
      <c r="L19" s="42">
        <v>0.436</v>
      </c>
      <c r="M19" s="42" t="s">
        <v>43</v>
      </c>
      <c r="N19" s="42">
        <v>0.162</v>
      </c>
      <c r="O19" s="42">
        <v>2.422</v>
      </c>
      <c r="P19" s="42">
        <v>0.44</v>
      </c>
      <c r="Q19" s="126">
        <f t="shared" si="0"/>
        <v>76.111</v>
      </c>
      <c r="R19" s="122">
        <f t="shared" si="1"/>
        <v>0.07712882636815199</v>
      </c>
    </row>
    <row r="20" spans="3:18" ht="15" customHeight="1">
      <c r="C20" s="62">
        <v>2005</v>
      </c>
      <c r="D20" s="120">
        <v>0.982</v>
      </c>
      <c r="E20" s="42">
        <v>0.006</v>
      </c>
      <c r="F20" s="42">
        <v>20.853</v>
      </c>
      <c r="G20" s="42">
        <v>2.324</v>
      </c>
      <c r="H20" s="42">
        <v>43.13</v>
      </c>
      <c r="I20" s="42">
        <v>8.55</v>
      </c>
      <c r="J20" s="42">
        <v>0.687</v>
      </c>
      <c r="K20" s="379" t="s">
        <v>43</v>
      </c>
      <c r="L20" s="42">
        <v>0.49</v>
      </c>
      <c r="M20" s="42" t="s">
        <v>43</v>
      </c>
      <c r="N20" s="42">
        <v>0.311</v>
      </c>
      <c r="O20" s="42">
        <v>2.33</v>
      </c>
      <c r="P20" s="49">
        <v>0.45</v>
      </c>
      <c r="Q20" s="126">
        <f t="shared" si="0"/>
        <v>80.113</v>
      </c>
      <c r="R20" s="122">
        <f t="shared" si="1"/>
        <v>0.05258109865853822</v>
      </c>
    </row>
    <row r="21" spans="3:18" ht="15" customHeight="1">
      <c r="C21" s="62">
        <v>2006</v>
      </c>
      <c r="D21" s="120">
        <v>1</v>
      </c>
      <c r="E21" s="42">
        <v>0.148</v>
      </c>
      <c r="F21" s="42">
        <v>21.635</v>
      </c>
      <c r="G21" s="42">
        <v>2.697</v>
      </c>
      <c r="H21" s="42">
        <v>44.853</v>
      </c>
      <c r="I21" s="42">
        <v>8.912</v>
      </c>
      <c r="J21" s="42">
        <v>0.733</v>
      </c>
      <c r="K21" s="379" t="s">
        <v>43</v>
      </c>
      <c r="L21" s="42">
        <v>0.508</v>
      </c>
      <c r="M21" s="42" t="s">
        <v>43</v>
      </c>
      <c r="N21" s="42">
        <v>0.435</v>
      </c>
      <c r="O21" s="42">
        <v>2.49</v>
      </c>
      <c r="P21" s="42">
        <v>0.904</v>
      </c>
      <c r="Q21" s="126">
        <f t="shared" si="0"/>
        <v>84.315</v>
      </c>
      <c r="R21" s="122">
        <f t="shared" si="1"/>
        <v>0.05245091308526706</v>
      </c>
    </row>
    <row r="22" spans="3:18" ht="15" customHeight="1">
      <c r="C22" s="62">
        <v>2007</v>
      </c>
      <c r="D22" s="120">
        <v>1.018</v>
      </c>
      <c r="E22" s="42">
        <v>0.329</v>
      </c>
      <c r="F22" s="42">
        <v>21.919</v>
      </c>
      <c r="G22" s="42">
        <v>2.592</v>
      </c>
      <c r="H22" s="42">
        <v>47.966</v>
      </c>
      <c r="I22" s="42">
        <v>8.818</v>
      </c>
      <c r="J22" s="42">
        <v>0.8</v>
      </c>
      <c r="K22" s="379" t="s">
        <v>43</v>
      </c>
      <c r="L22" s="42">
        <v>0.506</v>
      </c>
      <c r="M22" s="42" t="s">
        <v>43</v>
      </c>
      <c r="N22" s="42">
        <v>0.58</v>
      </c>
      <c r="O22" s="42">
        <v>2.775</v>
      </c>
      <c r="P22" s="42">
        <v>1.392</v>
      </c>
      <c r="Q22" s="126">
        <f t="shared" si="0"/>
        <v>88.695</v>
      </c>
      <c r="R22" s="122">
        <f t="shared" si="1"/>
        <v>0.051948051948051965</v>
      </c>
    </row>
    <row r="23" spans="3:18" ht="15" customHeight="1">
      <c r="C23" s="62">
        <v>2008</v>
      </c>
      <c r="D23" s="120">
        <v>1.079</v>
      </c>
      <c r="E23" s="42">
        <v>0.253</v>
      </c>
      <c r="F23" s="42">
        <v>23.333</v>
      </c>
      <c r="G23" s="42">
        <v>5.483</v>
      </c>
      <c r="H23" s="42">
        <v>52.564</v>
      </c>
      <c r="I23" s="42">
        <v>8.878</v>
      </c>
      <c r="J23" s="42">
        <v>0.867</v>
      </c>
      <c r="K23" s="379" t="s">
        <v>43</v>
      </c>
      <c r="L23" s="42">
        <v>0.525</v>
      </c>
      <c r="M23" s="42">
        <v>0.014</v>
      </c>
      <c r="N23" s="42">
        <v>0.622</v>
      </c>
      <c r="O23" s="42">
        <v>2.992</v>
      </c>
      <c r="P23" s="42">
        <v>0.993</v>
      </c>
      <c r="Q23" s="126">
        <f t="shared" si="0"/>
        <v>97.60300000000001</v>
      </c>
      <c r="R23" s="122">
        <f t="shared" si="1"/>
        <v>0.10043407181915565</v>
      </c>
    </row>
    <row r="24" spans="2:18" ht="15" customHeight="1" thickBot="1">
      <c r="B24" s="2"/>
      <c r="C24" s="62">
        <v>2009</v>
      </c>
      <c r="D24" s="42">
        <v>1.061</v>
      </c>
      <c r="E24" s="42">
        <v>0.235</v>
      </c>
      <c r="F24" s="42">
        <v>22.561</v>
      </c>
      <c r="G24" s="42">
        <v>11.505</v>
      </c>
      <c r="H24" s="42">
        <v>51.864</v>
      </c>
      <c r="I24" s="42">
        <v>10.746</v>
      </c>
      <c r="J24" s="42">
        <v>0.915</v>
      </c>
      <c r="K24" s="379" t="s">
        <v>43</v>
      </c>
      <c r="L24" s="42">
        <v>0.529</v>
      </c>
      <c r="M24" s="42">
        <v>0.016</v>
      </c>
      <c r="N24" s="42">
        <v>0.604</v>
      </c>
      <c r="O24" s="42">
        <v>3.05</v>
      </c>
      <c r="P24" s="42">
        <v>1.014</v>
      </c>
      <c r="Q24" s="125">
        <f t="shared" si="0"/>
        <v>104.1</v>
      </c>
      <c r="R24" s="122">
        <f t="shared" si="1"/>
        <v>0.06656557687775977</v>
      </c>
    </row>
    <row r="25" spans="2:18" ht="15" customHeight="1" thickBot="1" thickTop="1">
      <c r="B25" s="2"/>
      <c r="C25" s="62">
        <v>2010</v>
      </c>
      <c r="D25" s="42">
        <v>1.061</v>
      </c>
      <c r="E25" s="42">
        <v>0.271</v>
      </c>
      <c r="F25" s="42">
        <v>23.903134902</v>
      </c>
      <c r="G25" s="42">
        <v>11.715</v>
      </c>
      <c r="H25" s="42">
        <v>51.890184043438</v>
      </c>
      <c r="I25" s="42">
        <v>11.6062</v>
      </c>
      <c r="J25" s="174">
        <v>0.285</v>
      </c>
      <c r="K25" s="379" t="s">
        <v>43</v>
      </c>
      <c r="L25" s="42">
        <v>0.519259398</v>
      </c>
      <c r="M25" s="42">
        <v>0.0151</v>
      </c>
      <c r="N25" s="42">
        <v>0.651</v>
      </c>
      <c r="O25" s="49">
        <f>AVERAGE(O24,O26)</f>
        <v>2.9385</v>
      </c>
      <c r="P25" s="42">
        <v>1.014</v>
      </c>
      <c r="Q25" s="126">
        <f t="shared" si="0"/>
        <v>105.869378343438</v>
      </c>
      <c r="R25" s="122">
        <f t="shared" si="1"/>
        <v>0.016996910119481345</v>
      </c>
    </row>
    <row r="26" spans="2:18" ht="15" customHeight="1" thickTop="1">
      <c r="B26" s="2"/>
      <c r="C26" s="62">
        <v>2011</v>
      </c>
      <c r="D26" s="42">
        <v>0.905</v>
      </c>
      <c r="E26" s="42">
        <v>0.285</v>
      </c>
      <c r="F26" s="42">
        <v>23.306</v>
      </c>
      <c r="G26" s="42">
        <v>11.231</v>
      </c>
      <c r="H26" s="42">
        <v>52.044</v>
      </c>
      <c r="I26" s="42">
        <v>12.283</v>
      </c>
      <c r="J26" s="42">
        <v>0.305</v>
      </c>
      <c r="K26" s="379" t="s">
        <v>43</v>
      </c>
      <c r="L26" s="42">
        <v>0.466</v>
      </c>
      <c r="M26" s="42">
        <v>0.01334</v>
      </c>
      <c r="N26" s="42">
        <v>0.709</v>
      </c>
      <c r="O26" s="42">
        <v>2.827</v>
      </c>
      <c r="P26" s="382">
        <v>4.364</v>
      </c>
      <c r="Q26" s="125">
        <f t="shared" si="0"/>
        <v>108.73834000000001</v>
      </c>
      <c r="R26" s="122">
        <f t="shared" si="1"/>
        <v>0.027099069640847073</v>
      </c>
    </row>
    <row r="27" spans="2:18" ht="15" customHeight="1">
      <c r="B27" s="2"/>
      <c r="C27" s="62">
        <v>2012</v>
      </c>
      <c r="D27" s="49">
        <v>0.905</v>
      </c>
      <c r="E27" s="42">
        <v>0.271</v>
      </c>
      <c r="F27" s="42">
        <v>24.753</v>
      </c>
      <c r="G27" s="42">
        <v>11.177</v>
      </c>
      <c r="H27" s="42">
        <v>51.086</v>
      </c>
      <c r="I27" s="42">
        <v>12.794</v>
      </c>
      <c r="J27" s="42">
        <v>0.324</v>
      </c>
      <c r="K27" s="379" t="s">
        <v>43</v>
      </c>
      <c r="L27" s="42">
        <v>0.462</v>
      </c>
      <c r="M27" s="42">
        <v>0.011888481</v>
      </c>
      <c r="N27" s="42">
        <v>0.708</v>
      </c>
      <c r="O27" s="42">
        <v>2.948</v>
      </c>
      <c r="P27" s="49">
        <v>4.364</v>
      </c>
      <c r="Q27" s="126">
        <f t="shared" si="0"/>
        <v>109.803888481</v>
      </c>
      <c r="R27" s="378">
        <f t="shared" si="1"/>
        <v>0.009799197605922627</v>
      </c>
    </row>
    <row r="28" spans="2:18" ht="15" customHeight="1">
      <c r="B28" s="2"/>
      <c r="C28" s="62">
        <v>2013</v>
      </c>
      <c r="D28" s="402">
        <v>0.905</v>
      </c>
      <c r="E28" s="42">
        <v>0.246</v>
      </c>
      <c r="F28" s="42">
        <v>25.178</v>
      </c>
      <c r="G28" s="42">
        <v>12.744</v>
      </c>
      <c r="H28" s="42">
        <v>50.786</v>
      </c>
      <c r="I28" s="49">
        <v>12.794</v>
      </c>
      <c r="J28" s="42">
        <v>0.363</v>
      </c>
      <c r="K28" s="379" t="s">
        <v>43</v>
      </c>
      <c r="L28" s="42">
        <v>0.465</v>
      </c>
      <c r="M28" s="42">
        <v>0.011050688</v>
      </c>
      <c r="N28" s="42">
        <v>0.757</v>
      </c>
      <c r="O28" s="42">
        <v>3.055</v>
      </c>
      <c r="P28" s="49">
        <v>4.364</v>
      </c>
      <c r="Q28" s="126">
        <f t="shared" si="0"/>
        <v>111.66805068800002</v>
      </c>
      <c r="R28" s="378">
        <f t="shared" si="1"/>
        <v>0.016977196643838344</v>
      </c>
    </row>
    <row r="29" spans="2:18" ht="15" customHeight="1">
      <c r="B29" s="2"/>
      <c r="C29" s="425">
        <v>2014</v>
      </c>
      <c r="D29" s="402">
        <v>0.91</v>
      </c>
      <c r="E29" s="49">
        <v>0.246</v>
      </c>
      <c r="F29" s="42">
        <v>24.316</v>
      </c>
      <c r="G29" s="42">
        <v>12.788</v>
      </c>
      <c r="H29" s="42">
        <v>50.659</v>
      </c>
      <c r="I29" s="49">
        <v>12.794</v>
      </c>
      <c r="J29" s="42">
        <v>0.242</v>
      </c>
      <c r="K29" s="379" t="s">
        <v>43</v>
      </c>
      <c r="L29" s="42">
        <v>0.538</v>
      </c>
      <c r="M29" s="42">
        <v>0.007713148</v>
      </c>
      <c r="N29" s="42">
        <v>0.651</v>
      </c>
      <c r="O29" s="42">
        <v>3.228</v>
      </c>
      <c r="P29" s="455">
        <v>2.9</v>
      </c>
      <c r="Q29" s="126">
        <f t="shared" si="0"/>
        <v>109.27971314799998</v>
      </c>
      <c r="R29" s="122">
        <f t="shared" si="1"/>
        <v>-0.02138783228761676</v>
      </c>
    </row>
    <row r="30" spans="2:18" ht="15" customHeight="1">
      <c r="B30" s="2"/>
      <c r="C30" s="425">
        <v>2015</v>
      </c>
      <c r="D30" s="452">
        <v>1.2</v>
      </c>
      <c r="E30" s="379">
        <v>0.567</v>
      </c>
      <c r="F30" s="42">
        <v>25.28</v>
      </c>
      <c r="G30" s="42">
        <v>14.129</v>
      </c>
      <c r="H30" s="42">
        <v>49.98</v>
      </c>
      <c r="I30" s="49">
        <v>12.794</v>
      </c>
      <c r="J30" s="42">
        <v>0.996</v>
      </c>
      <c r="K30" s="42">
        <v>0.467</v>
      </c>
      <c r="L30" s="42">
        <v>0.569</v>
      </c>
      <c r="M30" s="42">
        <v>0.005629107</v>
      </c>
      <c r="N30" s="42">
        <v>0.571</v>
      </c>
      <c r="O30" s="42">
        <v>3.365</v>
      </c>
      <c r="P30" s="379">
        <v>2.9</v>
      </c>
      <c r="Q30" s="126">
        <f t="shared" si="0"/>
        <v>112.823629107</v>
      </c>
      <c r="R30" s="122">
        <f t="shared" si="1"/>
        <v>0.03242976996288793</v>
      </c>
    </row>
    <row r="31" spans="2:18" ht="15" customHeight="1">
      <c r="B31" s="2"/>
      <c r="C31" s="426">
        <v>2016</v>
      </c>
      <c r="D31" s="453">
        <v>1.5</v>
      </c>
      <c r="E31" s="454">
        <v>0.698</v>
      </c>
      <c r="F31" s="431">
        <v>27.213</v>
      </c>
      <c r="G31" s="431">
        <v>15.059</v>
      </c>
      <c r="H31" s="431">
        <v>50.539</v>
      </c>
      <c r="I31" s="432">
        <v>12.794</v>
      </c>
      <c r="J31" s="431">
        <v>0.365</v>
      </c>
      <c r="K31" s="454">
        <v>1.43549</v>
      </c>
      <c r="L31" s="431">
        <v>0.61411</v>
      </c>
      <c r="M31" s="431">
        <v>0.003907696</v>
      </c>
      <c r="N31" s="431">
        <v>0.613</v>
      </c>
      <c r="O31" s="431">
        <v>3.481</v>
      </c>
      <c r="P31" s="456">
        <v>2.8</v>
      </c>
      <c r="Q31" s="427">
        <f t="shared" si="0"/>
        <v>117.11550769599998</v>
      </c>
      <c r="R31" s="451">
        <f t="shared" si="1"/>
        <v>0.038040600386375134</v>
      </c>
    </row>
    <row r="32" spans="2:18" ht="14.25" customHeight="1">
      <c r="B32" s="2"/>
      <c r="C32" s="9" t="s">
        <v>78</v>
      </c>
      <c r="D32" s="57"/>
      <c r="E32" s="57"/>
      <c r="F32" s="57"/>
      <c r="G32" s="57"/>
      <c r="H32" s="57"/>
      <c r="I32" s="57"/>
      <c r="J32" s="57"/>
      <c r="K32" s="57"/>
      <c r="L32" s="57"/>
      <c r="M32" s="57"/>
      <c r="N32" s="57"/>
      <c r="O32" s="57"/>
      <c r="P32" s="57"/>
      <c r="Q32" s="57"/>
      <c r="R32" s="1"/>
    </row>
    <row r="33" spans="2:18" ht="26.25" customHeight="1">
      <c r="B33" s="2"/>
      <c r="C33" s="533" t="s">
        <v>99</v>
      </c>
      <c r="D33" s="534"/>
      <c r="E33" s="534"/>
      <c r="F33" s="534"/>
      <c r="G33" s="534"/>
      <c r="H33" s="534"/>
      <c r="I33" s="534"/>
      <c r="J33" s="534"/>
      <c r="K33" s="534"/>
      <c r="L33" s="534"/>
      <c r="M33" s="534"/>
      <c r="N33" s="534"/>
      <c r="O33" s="534"/>
      <c r="P33" s="534"/>
      <c r="Q33" s="534"/>
      <c r="R33" s="1"/>
    </row>
    <row r="34" spans="2:18" ht="15" customHeight="1">
      <c r="B34" s="2"/>
      <c r="C34" s="47"/>
      <c r="D34" s="26"/>
      <c r="E34" s="26"/>
      <c r="F34" s="26"/>
      <c r="G34" s="26"/>
      <c r="H34" s="26"/>
      <c r="I34" s="26"/>
      <c r="J34" s="46"/>
      <c r="K34" s="46"/>
      <c r="L34" s="46"/>
      <c r="M34" s="46"/>
      <c r="N34" s="26"/>
      <c r="O34" s="46"/>
      <c r="P34" s="26"/>
      <c r="Q34" s="48"/>
      <c r="R34" s="1"/>
    </row>
    <row r="35" spans="2:18" ht="15" customHeight="1">
      <c r="B35" s="2"/>
      <c r="C35" s="525" t="s">
        <v>51</v>
      </c>
      <c r="D35" s="525"/>
      <c r="E35" s="525"/>
      <c r="F35" s="525"/>
      <c r="G35" s="525"/>
      <c r="H35" s="525"/>
      <c r="I35" s="525"/>
      <c r="J35" s="525"/>
      <c r="K35" s="525"/>
      <c r="L35" s="525"/>
      <c r="M35" s="525"/>
      <c r="N35" s="525"/>
      <c r="O35" s="525"/>
      <c r="P35" s="525"/>
      <c r="Q35" s="525"/>
      <c r="R35" s="1"/>
    </row>
    <row r="36" spans="2:18" ht="24.75" customHeight="1">
      <c r="B36" s="2"/>
      <c r="C36" s="526" t="s">
        <v>42</v>
      </c>
      <c r="D36" s="526"/>
      <c r="E36" s="526"/>
      <c r="F36" s="526"/>
      <c r="G36" s="526"/>
      <c r="H36" s="526"/>
      <c r="I36" s="526"/>
      <c r="J36" s="526"/>
      <c r="K36" s="526"/>
      <c r="L36" s="526"/>
      <c r="M36" s="526"/>
      <c r="N36" s="526"/>
      <c r="O36" s="526"/>
      <c r="P36" s="526"/>
      <c r="Q36" s="526"/>
      <c r="R36" s="1"/>
    </row>
    <row r="37" spans="2:18" ht="15" customHeight="1">
      <c r="B37" s="2"/>
      <c r="C37" s="47"/>
      <c r="D37" s="59" t="s">
        <v>29</v>
      </c>
      <c r="E37" s="59" t="s">
        <v>14</v>
      </c>
      <c r="F37" s="59" t="s">
        <v>30</v>
      </c>
      <c r="G37" s="60" t="s">
        <v>31</v>
      </c>
      <c r="H37" s="59" t="s">
        <v>32</v>
      </c>
      <c r="I37" s="59" t="s">
        <v>34</v>
      </c>
      <c r="J37" s="59" t="s">
        <v>27</v>
      </c>
      <c r="K37" s="197" t="s">
        <v>20</v>
      </c>
      <c r="L37" s="59" t="s">
        <v>37</v>
      </c>
      <c r="M37" s="59" t="s">
        <v>23</v>
      </c>
      <c r="N37" s="59" t="s">
        <v>38</v>
      </c>
      <c r="O37" s="59" t="s">
        <v>39</v>
      </c>
      <c r="P37" s="123" t="s">
        <v>28</v>
      </c>
      <c r="Q37" s="197" t="s">
        <v>113</v>
      </c>
      <c r="R37" s="89"/>
    </row>
    <row r="38" spans="2:18" ht="15" customHeight="1">
      <c r="B38" s="2"/>
      <c r="C38" s="61">
        <v>2000</v>
      </c>
      <c r="D38" s="128">
        <v>11.184380656839927</v>
      </c>
      <c r="E38" s="128" t="s">
        <v>43</v>
      </c>
      <c r="F38" s="128">
        <v>18.467190069492336</v>
      </c>
      <c r="G38" s="128">
        <v>9.640587768069897</v>
      </c>
      <c r="H38" s="128">
        <v>50.05624925402087</v>
      </c>
      <c r="I38" s="128">
        <v>10.259824094246753</v>
      </c>
      <c r="J38" s="128">
        <v>0.7704895677076231</v>
      </c>
      <c r="K38" s="128" t="s">
        <v>43</v>
      </c>
      <c r="L38" s="128" t="s">
        <v>43</v>
      </c>
      <c r="M38" s="128" t="s">
        <v>43</v>
      </c>
      <c r="N38" s="128">
        <v>2.0851688693098382</v>
      </c>
      <c r="O38" s="128">
        <v>24.83319179910227</v>
      </c>
      <c r="P38" s="129" t="s">
        <v>43</v>
      </c>
      <c r="Q38" s="130">
        <v>15.826274123761975</v>
      </c>
      <c r="R38" s="1"/>
    </row>
    <row r="39" spans="2:18" ht="15" customHeight="1">
      <c r="B39" s="2"/>
      <c r="C39" s="62">
        <v>2001</v>
      </c>
      <c r="D39" s="128">
        <v>11.059965165464046</v>
      </c>
      <c r="E39" s="128" t="s">
        <v>43</v>
      </c>
      <c r="F39" s="128">
        <v>20.480766692187874</v>
      </c>
      <c r="G39" s="128">
        <v>9.97215287113501</v>
      </c>
      <c r="H39" s="128">
        <v>52.59383194457694</v>
      </c>
      <c r="I39" s="128">
        <v>13.505471683041776</v>
      </c>
      <c r="J39" s="128">
        <v>1.3271261812117845</v>
      </c>
      <c r="K39" s="128" t="s">
        <v>43</v>
      </c>
      <c r="L39" s="128" t="s">
        <v>43</v>
      </c>
      <c r="M39" s="128" t="s">
        <v>43</v>
      </c>
      <c r="N39" s="128">
        <v>1.8281535648994516</v>
      </c>
      <c r="O39" s="128">
        <v>25.503893724232707</v>
      </c>
      <c r="P39" s="131" t="s">
        <v>43</v>
      </c>
      <c r="Q39" s="132">
        <v>17.43229812549757</v>
      </c>
      <c r="R39" s="1"/>
    </row>
    <row r="40" spans="2:18" ht="15" customHeight="1">
      <c r="B40" s="2"/>
      <c r="C40" s="62">
        <v>2002</v>
      </c>
      <c r="D40" s="128">
        <v>11.004842615012107</v>
      </c>
      <c r="E40" s="128" t="s">
        <v>43</v>
      </c>
      <c r="F40" s="128">
        <v>21.54082943842754</v>
      </c>
      <c r="G40" s="128">
        <v>10.28240064117675</v>
      </c>
      <c r="H40" s="128">
        <v>54.674116567149234</v>
      </c>
      <c r="I40" s="128">
        <v>14.355833198117802</v>
      </c>
      <c r="J40" s="128">
        <v>1.406774916013438</v>
      </c>
      <c r="K40" s="128" t="s">
        <v>43</v>
      </c>
      <c r="L40" s="128" t="s">
        <v>43</v>
      </c>
      <c r="M40" s="128" t="s">
        <v>43</v>
      </c>
      <c r="N40" s="128">
        <v>4.06871609403255</v>
      </c>
      <c r="O40" s="128">
        <v>26.932612125309895</v>
      </c>
      <c r="P40" s="131" t="s">
        <v>43</v>
      </c>
      <c r="Q40" s="132">
        <v>18.574080609687492</v>
      </c>
      <c r="R40" s="1"/>
    </row>
    <row r="41" spans="2:18" ht="15" customHeight="1">
      <c r="B41" s="2"/>
      <c r="C41" s="62">
        <v>2003</v>
      </c>
      <c r="D41" s="128">
        <v>10.623109497882636</v>
      </c>
      <c r="E41" s="128" t="s">
        <v>43</v>
      </c>
      <c r="F41" s="128">
        <v>24.48627494985482</v>
      </c>
      <c r="G41" s="128">
        <v>9.594357930610121</v>
      </c>
      <c r="H41" s="128">
        <v>55.704674921033394</v>
      </c>
      <c r="I41" s="128">
        <v>15.259666919933466</v>
      </c>
      <c r="J41" s="128">
        <v>4.7949162333911035</v>
      </c>
      <c r="K41" s="128" t="s">
        <v>43</v>
      </c>
      <c r="L41" s="128" t="s">
        <v>43</v>
      </c>
      <c r="M41" s="128" t="s">
        <v>43</v>
      </c>
      <c r="N41" s="128">
        <v>5.991611743559018</v>
      </c>
      <c r="O41" s="128">
        <v>27.16776092370387</v>
      </c>
      <c r="P41" s="131" t="s">
        <v>43</v>
      </c>
      <c r="Q41" s="132">
        <v>19.495953447112154</v>
      </c>
      <c r="R41" s="1"/>
    </row>
    <row r="42" spans="2:20" ht="15" customHeight="1">
      <c r="B42" s="2"/>
      <c r="C42" s="62">
        <v>2004</v>
      </c>
      <c r="D42" s="128">
        <v>10.18970189701897</v>
      </c>
      <c r="E42" s="128">
        <v>0.015197568389057751</v>
      </c>
      <c r="F42" s="128">
        <v>26.89163237311385</v>
      </c>
      <c r="G42" s="128">
        <v>10.227607181399</v>
      </c>
      <c r="H42" s="128">
        <v>56.063394460548764</v>
      </c>
      <c r="I42" s="128">
        <v>16.09006375116742</v>
      </c>
      <c r="J42" s="128">
        <v>4.528223861051761</v>
      </c>
      <c r="K42" s="128" t="s">
        <v>43</v>
      </c>
      <c r="L42" s="128">
        <v>11.620469083155651</v>
      </c>
      <c r="M42" s="128" t="s">
        <v>43</v>
      </c>
      <c r="N42" s="128">
        <v>4.832935560859189</v>
      </c>
      <c r="O42" s="128">
        <v>28.051887885105398</v>
      </c>
      <c r="P42" s="131">
        <v>1.0120991857202006</v>
      </c>
      <c r="Q42" s="132">
        <v>20.618713669663823</v>
      </c>
      <c r="R42" s="1"/>
      <c r="T42" s="188"/>
    </row>
    <row r="43" spans="2:18" ht="15" customHeight="1">
      <c r="B43" s="2"/>
      <c r="C43" s="62">
        <v>2005</v>
      </c>
      <c r="D43" s="128">
        <v>11.539365452408932</v>
      </c>
      <c r="E43" s="128">
        <v>0.08999550022498876</v>
      </c>
      <c r="F43" s="128">
        <v>27.152343750000004</v>
      </c>
      <c r="G43" s="128">
        <v>10.747317795042544</v>
      </c>
      <c r="H43" s="128">
        <v>56.76381383111032</v>
      </c>
      <c r="I43" s="128">
        <v>17.06995687589842</v>
      </c>
      <c r="J43" s="128">
        <v>4.53375569194219</v>
      </c>
      <c r="K43" s="128" t="s">
        <v>43</v>
      </c>
      <c r="L43" s="128">
        <v>12.864268836965081</v>
      </c>
      <c r="M43" s="128" t="s">
        <v>43</v>
      </c>
      <c r="N43" s="128">
        <v>8.941920644048302</v>
      </c>
      <c r="O43" s="128">
        <v>26.150392817059487</v>
      </c>
      <c r="P43" s="177">
        <v>1.0080193539715963</v>
      </c>
      <c r="Q43" s="132">
        <v>21.18564818152768</v>
      </c>
      <c r="R43" s="1"/>
    </row>
    <row r="44" spans="2:18" ht="15" customHeight="1">
      <c r="B44" s="2"/>
      <c r="C44" s="62">
        <v>2006</v>
      </c>
      <c r="D44" s="128">
        <v>11.155734047300312</v>
      </c>
      <c r="E44" s="128">
        <v>2.138110372724646</v>
      </c>
      <c r="F44" s="128">
        <v>27.38607594936709</v>
      </c>
      <c r="G44" s="128">
        <v>12.200859534042072</v>
      </c>
      <c r="H44" s="128">
        <v>56.57835582193888</v>
      </c>
      <c r="I44" s="128">
        <v>17.75829431104912</v>
      </c>
      <c r="J44" s="128">
        <v>4.613254452766065</v>
      </c>
      <c r="K44" s="128" t="s">
        <v>43</v>
      </c>
      <c r="L44" s="128">
        <v>13.106295149638802</v>
      </c>
      <c r="M44" s="128" t="s">
        <v>43</v>
      </c>
      <c r="N44" s="128">
        <v>12.288135593220337</v>
      </c>
      <c r="O44" s="128">
        <v>25.891650202765938</v>
      </c>
      <c r="P44" s="131">
        <v>1.9113262997653129</v>
      </c>
      <c r="Q44" s="132">
        <v>21.610813711042713</v>
      </c>
      <c r="R44" s="1"/>
    </row>
    <row r="45" spans="2:18" ht="15" customHeight="1">
      <c r="B45" s="2"/>
      <c r="C45" s="62">
        <v>2007</v>
      </c>
      <c r="D45" s="128">
        <v>10.826332021695203</v>
      </c>
      <c r="E45" s="128">
        <v>4.76949840533488</v>
      </c>
      <c r="F45" s="128">
        <v>27.708041007749003</v>
      </c>
      <c r="G45" s="128">
        <v>11.858901038568881</v>
      </c>
      <c r="H45" s="128">
        <v>59.003518574182465</v>
      </c>
      <c r="I45" s="128">
        <v>17.713941341904377</v>
      </c>
      <c r="J45" s="128">
        <v>4.900459418070445</v>
      </c>
      <c r="K45" s="128" t="s">
        <v>43</v>
      </c>
      <c r="L45" s="128">
        <v>12.691246551291698</v>
      </c>
      <c r="M45" s="128" t="s">
        <v>43</v>
      </c>
      <c r="N45" s="128">
        <v>15.352038115404977</v>
      </c>
      <c r="O45" s="128">
        <v>27.04414774388461</v>
      </c>
      <c r="P45" s="131">
        <v>2.7578555295795852</v>
      </c>
      <c r="Q45" s="132">
        <v>22.328741779270924</v>
      </c>
      <c r="R45" s="1"/>
    </row>
    <row r="46" spans="2:18" ht="15" customHeight="1">
      <c r="B46" s="2"/>
      <c r="C46" s="62">
        <v>2008</v>
      </c>
      <c r="D46" s="128">
        <v>10.642075155340763</v>
      </c>
      <c r="E46" s="128">
        <v>3.7354200501993207</v>
      </c>
      <c r="F46" s="128">
        <v>28.269120622931084</v>
      </c>
      <c r="G46" s="128">
        <v>22.87538070007092</v>
      </c>
      <c r="H46" s="128">
        <v>60.88086463440002</v>
      </c>
      <c r="I46" s="128">
        <v>17.926661820531457</v>
      </c>
      <c r="J46" s="128">
        <v>5.305023557486386</v>
      </c>
      <c r="K46" s="128" t="s">
        <v>43</v>
      </c>
      <c r="L46" s="128">
        <v>12.461428910515073</v>
      </c>
      <c r="M46" s="128">
        <v>1.8300653594771243</v>
      </c>
      <c r="N46" s="128">
        <v>15.350444225074039</v>
      </c>
      <c r="O46" s="128">
        <v>26.843710748250494</v>
      </c>
      <c r="P46" s="131">
        <v>1.873514207011056</v>
      </c>
      <c r="Q46" s="132">
        <v>23.648323003824622</v>
      </c>
      <c r="R46" s="1"/>
    </row>
    <row r="47" spans="3:18" ht="15.75" customHeight="1" thickBot="1">
      <c r="C47" s="62">
        <v>2009</v>
      </c>
      <c r="D47" s="169">
        <v>10.364364559929665</v>
      </c>
      <c r="E47" s="169">
        <v>3.6310259579728053</v>
      </c>
      <c r="F47" s="169">
        <v>27.42845332749775</v>
      </c>
      <c r="G47" s="169">
        <v>49.72554782383196</v>
      </c>
      <c r="H47" s="169">
        <v>60.57999646112564</v>
      </c>
      <c r="I47" s="169">
        <v>22.329814645499127</v>
      </c>
      <c r="J47" s="169">
        <v>5.560619872379217</v>
      </c>
      <c r="K47" s="169" t="s">
        <v>43</v>
      </c>
      <c r="L47" s="169">
        <v>12.556373130785664</v>
      </c>
      <c r="M47" s="169">
        <v>2.069857697283312</v>
      </c>
      <c r="N47" s="169">
        <v>15.583075335397318</v>
      </c>
      <c r="O47" s="169">
        <v>26.9410829432029</v>
      </c>
      <c r="P47" s="131">
        <v>1.9217284184592058</v>
      </c>
      <c r="Q47" s="132">
        <v>25.68294057841311</v>
      </c>
      <c r="R47" s="170"/>
    </row>
    <row r="48" spans="3:18" ht="15.75" customHeight="1" thickBot="1" thickTop="1">
      <c r="C48" s="62">
        <v>2010</v>
      </c>
      <c r="D48" s="169">
        <v>10.043544112078758</v>
      </c>
      <c r="E48" s="169">
        <v>4.131727397469127</v>
      </c>
      <c r="F48" s="169">
        <v>28.492746509798316</v>
      </c>
      <c r="G48" s="169">
        <v>52.16868542928393</v>
      </c>
      <c r="H48" s="169">
        <v>60.61826367188201</v>
      </c>
      <c r="I48" s="169">
        <v>24.60400237428983</v>
      </c>
      <c r="J48" s="175">
        <v>1.6863905325443789</v>
      </c>
      <c r="K48" s="169" t="s">
        <v>43</v>
      </c>
      <c r="L48" s="169">
        <v>12.630975383118463</v>
      </c>
      <c r="M48" s="169">
        <v>2.0713305898491083</v>
      </c>
      <c r="N48" s="169">
        <v>16.443546350088408</v>
      </c>
      <c r="O48" s="176">
        <v>26.342447333034514</v>
      </c>
      <c r="P48" s="131">
        <v>1.8161953036843328</v>
      </c>
      <c r="Q48" s="178">
        <v>25.99172412200403</v>
      </c>
      <c r="R48" s="170"/>
    </row>
    <row r="49" spans="3:18" ht="15.75" customHeight="1" thickTop="1">
      <c r="C49" s="62">
        <v>2011</v>
      </c>
      <c r="D49" s="169">
        <v>8.48251944887056</v>
      </c>
      <c r="E49" s="169">
        <v>4.273504273504273</v>
      </c>
      <c r="F49" s="169">
        <v>27.28624448268999</v>
      </c>
      <c r="G49" s="169">
        <v>49.269576661548584</v>
      </c>
      <c r="H49" s="169">
        <v>58.6531000832222</v>
      </c>
      <c r="I49" s="169">
        <v>26.22051446258939</v>
      </c>
      <c r="J49" s="169">
        <v>1.7449510841581326</v>
      </c>
      <c r="K49" s="169" t="s">
        <v>43</v>
      </c>
      <c r="L49" s="169">
        <v>10.998347887656362</v>
      </c>
      <c r="M49" s="169">
        <v>1.9361393323657476</v>
      </c>
      <c r="N49" s="169">
        <v>18.26378155589902</v>
      </c>
      <c r="O49" s="169">
        <v>24.844010897266898</v>
      </c>
      <c r="P49" s="383">
        <v>7.464677910437549</v>
      </c>
      <c r="Q49" s="132">
        <v>26.167715255052</v>
      </c>
      <c r="R49" s="1"/>
    </row>
    <row r="50" spans="3:18" ht="15.75" customHeight="1">
      <c r="C50" s="62">
        <v>2012</v>
      </c>
      <c r="D50" s="176">
        <v>8.335635995210463</v>
      </c>
      <c r="E50" s="169">
        <v>3.765981100611451</v>
      </c>
      <c r="F50" s="169">
        <v>27.876569626668168</v>
      </c>
      <c r="G50" s="169">
        <v>49.72859939491013</v>
      </c>
      <c r="H50" s="169">
        <v>57.54650316408225</v>
      </c>
      <c r="I50" s="169">
        <v>27.361577450330422</v>
      </c>
      <c r="J50" s="169">
        <v>1.8231950931292553</v>
      </c>
      <c r="K50" s="169" t="s">
        <v>43</v>
      </c>
      <c r="L50" s="169">
        <v>12.148303970549566</v>
      </c>
      <c r="M50" s="169">
        <v>1.8040183611532625</v>
      </c>
      <c r="N50" s="169">
        <v>17.546468401486987</v>
      </c>
      <c r="O50" s="169">
        <v>25</v>
      </c>
      <c r="P50" s="176">
        <v>7.1796390438115925</v>
      </c>
      <c r="Q50" s="178">
        <v>26.078436505552215</v>
      </c>
      <c r="R50" s="1"/>
    </row>
    <row r="51" spans="3:18" ht="15.75" customHeight="1">
      <c r="C51" s="62">
        <v>2013</v>
      </c>
      <c r="D51" s="176">
        <v>8.31343009369833</v>
      </c>
      <c r="E51" s="169">
        <v>3.2747603833865817</v>
      </c>
      <c r="F51" s="169">
        <v>28.095742900184124</v>
      </c>
      <c r="G51" s="169">
        <v>53.57323020010089</v>
      </c>
      <c r="H51" s="169">
        <v>57.62976021569139</v>
      </c>
      <c r="I51" s="176">
        <v>26.25002564681262</v>
      </c>
      <c r="J51" s="169">
        <v>1.9061121613106489</v>
      </c>
      <c r="K51" s="169" t="s">
        <v>43</v>
      </c>
      <c r="L51" s="169">
        <v>12.743217319813649</v>
      </c>
      <c r="M51" s="169">
        <v>1.6274945508100145</v>
      </c>
      <c r="N51" s="169">
        <v>18.677522822600544</v>
      </c>
      <c r="O51" s="169">
        <v>25.798007093396386</v>
      </c>
      <c r="P51" s="176">
        <v>7.0443906376109755</v>
      </c>
      <c r="Q51" s="178">
        <v>26.16594771089015</v>
      </c>
      <c r="R51" s="1"/>
    </row>
    <row r="52" spans="3:18" ht="15.75" customHeight="1">
      <c r="C52" s="425">
        <v>2014</v>
      </c>
      <c r="D52" s="428">
        <v>8.292327319117915</v>
      </c>
      <c r="E52" s="176">
        <v>3.2182103610675035</v>
      </c>
      <c r="F52" s="169">
        <v>26.727928244811817</v>
      </c>
      <c r="G52" s="169">
        <v>51.00510529674538</v>
      </c>
      <c r="H52" s="169">
        <v>58.076903794595744</v>
      </c>
      <c r="I52" s="176">
        <v>25.61002462117421</v>
      </c>
      <c r="J52" s="169">
        <v>1.2096975756060986</v>
      </c>
      <c r="K52" s="169" t="s">
        <v>43</v>
      </c>
      <c r="L52" s="169">
        <v>13.966770508826585</v>
      </c>
      <c r="M52" s="169">
        <v>1.244056129032258</v>
      </c>
      <c r="N52" s="169">
        <v>16.804336602994322</v>
      </c>
      <c r="O52" s="169">
        <v>26.631466050655888</v>
      </c>
      <c r="P52" s="131">
        <v>4.481463738777023</v>
      </c>
      <c r="Q52" s="177">
        <v>25.19042740749317</v>
      </c>
      <c r="R52" s="1"/>
    </row>
    <row r="53" spans="3:18" ht="15.75" customHeight="1">
      <c r="C53" s="425">
        <v>2015</v>
      </c>
      <c r="D53" s="458">
        <v>11.613277847672505</v>
      </c>
      <c r="E53" s="169">
        <v>6.978461538461538</v>
      </c>
      <c r="F53" s="169">
        <v>27.56545159144686</v>
      </c>
      <c r="G53" s="169">
        <v>54.04712722821513</v>
      </c>
      <c r="H53" s="169">
        <v>56.08092406797284</v>
      </c>
      <c r="I53" s="176">
        <v>24.506292259658665</v>
      </c>
      <c r="J53" s="169">
        <v>5.68395822633111</v>
      </c>
      <c r="K53" s="169">
        <v>2.7088167053364276</v>
      </c>
      <c r="L53" s="169">
        <v>14.379580490270405</v>
      </c>
      <c r="M53" s="169">
        <v>0.896354617834395</v>
      </c>
      <c r="N53" s="169">
        <v>13.879436071949442</v>
      </c>
      <c r="O53" s="169">
        <v>26.41079978023703</v>
      </c>
      <c r="P53" s="131">
        <v>4.354746673874523</v>
      </c>
      <c r="Q53" s="177">
        <v>25.486831104844722</v>
      </c>
      <c r="R53" s="1"/>
    </row>
    <row r="54" spans="3:18" ht="15.75" customHeight="1">
      <c r="C54" s="426">
        <v>2016</v>
      </c>
      <c r="D54" s="459">
        <v>14.962593516209477</v>
      </c>
      <c r="E54" s="430">
        <v>7.988097962920576</v>
      </c>
      <c r="F54" s="430">
        <v>28.39716164040488</v>
      </c>
      <c r="G54" s="430">
        <v>56.46398026254119</v>
      </c>
      <c r="H54" s="430">
        <v>57.5587627834031</v>
      </c>
      <c r="I54" s="457">
        <v>25.079389971380404</v>
      </c>
      <c r="J54" s="430">
        <v>2.030033370411568</v>
      </c>
      <c r="K54" s="430">
        <v>7.48625814863103</v>
      </c>
      <c r="L54" s="430">
        <v>14.395452414439758</v>
      </c>
      <c r="M54" s="430">
        <v>0.6395574468085108</v>
      </c>
      <c r="N54" s="430">
        <v>15.847983453981385</v>
      </c>
      <c r="O54" s="430">
        <v>27.195312499999996</v>
      </c>
      <c r="P54" s="460">
        <v>4.117041611527716</v>
      </c>
      <c r="Q54" s="429">
        <v>26.090117893228143</v>
      </c>
      <c r="R54" s="1"/>
    </row>
    <row r="55" spans="3:18" ht="15.75" customHeight="1">
      <c r="C55" s="527" t="s">
        <v>101</v>
      </c>
      <c r="D55" s="528"/>
      <c r="E55" s="528"/>
      <c r="F55" s="528"/>
      <c r="G55" s="528"/>
      <c r="H55" s="528"/>
      <c r="I55" s="528"/>
      <c r="J55" s="528"/>
      <c r="K55" s="528"/>
      <c r="L55" s="528"/>
      <c r="M55" s="528"/>
      <c r="N55" s="528"/>
      <c r="O55" s="528"/>
      <c r="P55" s="528"/>
      <c r="Q55" s="528"/>
      <c r="R55" s="1"/>
    </row>
    <row r="56" ht="13.5" customHeight="1"/>
  </sheetData>
  <sheetProtection/>
  <mergeCells count="7">
    <mergeCell ref="C35:Q35"/>
    <mergeCell ref="C36:Q36"/>
    <mergeCell ref="C55:Q55"/>
    <mergeCell ref="C1:D1"/>
    <mergeCell ref="C2:R2"/>
    <mergeCell ref="C3:Q3"/>
    <mergeCell ref="C33:Q33"/>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2012-03-29T14:37:27Z</cp:lastPrinted>
  <dcterms:created xsi:type="dcterms:W3CDTF">2003-09-05T14:33:05Z</dcterms:created>
  <dcterms:modified xsi:type="dcterms:W3CDTF">2018-09-18T09:58:27Z</dcterms:modified>
  <cp:category/>
  <cp:version/>
  <cp:contentType/>
  <cp:contentStatus/>
</cp:coreProperties>
</file>