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3" sheetId="1" r:id="rId1"/>
    <sheet name="passeng_graph" sheetId="2" r:id="rId2"/>
    <sheet name="perf_mode_pkm" sheetId="3" r:id="rId3"/>
    <sheet name="split_mode_pkm" sheetId="4" r:id="rId4"/>
    <sheet name="cars" sheetId="5" r:id="rId5"/>
    <sheet name="bus_coach" sheetId="6" r:id="rId6"/>
    <sheet name="tram_metro" sheetId="7" r:id="rId7"/>
    <sheet name="rail_pkm" sheetId="8" r:id="rId8"/>
    <sheet name="hs_rail" sheetId="9" r:id="rId9"/>
    <sheet name="USA" sheetId="10" r:id="rId10"/>
  </sheets>
  <definedNames>
    <definedName name="A" localSheetId="0">'T3.3'!$A$65500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5">'bus_coach'!$B$1:$Y$48</definedName>
    <definedName name="_xlnm.Print_Area" localSheetId="4">'cars'!$B$1:$Y$46</definedName>
    <definedName name="_xlnm.Print_Area" localSheetId="8">'hs_rail'!$B$1:$P$39</definedName>
    <definedName name="_xlnm.Print_Area" localSheetId="1">'passeng_graph'!$B$1:$N$32</definedName>
    <definedName name="_xlnm.Print_Area" localSheetId="2">'perf_mode_pkm'!$B$1:$J$48</definedName>
    <definedName name="_xlnm.Print_Area" localSheetId="7">'rail_pkm'!$B$1:$Y$45</definedName>
    <definedName name="_xlnm.Print_Area" localSheetId="3">'split_mode_pkm'!$B$1:$G$49</definedName>
    <definedName name="_xlnm.Print_Area" localSheetId="0">'T3.3'!$B$1:$E$25</definedName>
    <definedName name="_xlnm.Print_Area" localSheetId="6">'tram_metro'!$B$1:$Y$46</definedName>
    <definedName name="_xlnm.Print_Area" localSheetId="9">'USA'!$B$1:$I$62</definedName>
    <definedName name="Z_534C28F4_E90D_11D3_A4B3_0050041AE0D6_.wvu.PrintArea" localSheetId="3" hidden="1">'split_mode_pkm'!$C$1:$G$20</definedName>
  </definedNames>
  <calcPr fullCalcOnLoad="1"/>
</workbook>
</file>

<file path=xl/sharedStrings.xml><?xml version="1.0" encoding="utf-8"?>
<sst xmlns="http://schemas.openxmlformats.org/spreadsheetml/2006/main" count="987" uniqueCount="135">
  <si>
    <t>Chapter 3.3  :</t>
  </si>
  <si>
    <t>Passenger Transport</t>
  </si>
  <si>
    <t>Tram &amp; Metro</t>
  </si>
  <si>
    <t>1000 mio passenger-kilometres</t>
  </si>
  <si>
    <t>Bus &amp; Coach</t>
  </si>
  <si>
    <t>passenger-km in %</t>
  </si>
  <si>
    <t>Buses and Coaches</t>
  </si>
  <si>
    <t>1000 mio pkm</t>
  </si>
  <si>
    <t>Notes:</t>
  </si>
  <si>
    <t>MK</t>
  </si>
  <si>
    <r>
      <t>Notes:</t>
    </r>
    <r>
      <rPr>
        <sz val="8"/>
        <rFont val="Arial"/>
        <family val="2"/>
      </rPr>
      <t xml:space="preserve"> </t>
    </r>
  </si>
  <si>
    <t>Powered 2-wheelers</t>
  </si>
  <si>
    <t>P2W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</si>
  <si>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</si>
  <si>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</si>
  <si>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</si>
  <si>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</si>
  <si>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</si>
  <si>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</si>
  <si>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</si>
  <si>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</si>
  <si>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</si>
  <si>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</si>
  <si>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</si>
  <si>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</si>
  <si>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</si>
  <si>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</si>
  <si>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</si>
  <si>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</si>
  <si>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</si>
  <si>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</si>
  <si>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</si>
  <si>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</si>
  <si>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</si>
  <si>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</si>
  <si>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</si>
  <si>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</si>
  <si>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</si>
  <si>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</si>
  <si>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</si>
  <si>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</si>
  <si>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</si>
  <si>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</si>
  <si>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</si>
  <si>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</si>
  <si>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</si>
  <si>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</si>
  <si>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</si>
  <si>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3.3.1</t>
  </si>
  <si>
    <t>3.3.2</t>
  </si>
  <si>
    <t>HR</t>
  </si>
  <si>
    <t>3.3.3</t>
  </si>
  <si>
    <t>3.3.4</t>
  </si>
  <si>
    <t>3.3.5</t>
  </si>
  <si>
    <t>3.3.6</t>
  </si>
  <si>
    <t>3.3.7</t>
  </si>
  <si>
    <t>3.3.8</t>
  </si>
  <si>
    <t>Passenger Cars</t>
  </si>
  <si>
    <t>Buses &amp; Coaches</t>
  </si>
  <si>
    <t>Railways</t>
  </si>
  <si>
    <t>Part 3  :  TRANSPORT</t>
  </si>
  <si>
    <t>Sea</t>
  </si>
  <si>
    <t>Air</t>
  </si>
  <si>
    <t>Total</t>
  </si>
  <si>
    <t>Share of high speed rail transport in total passenger-kilometres in rail transport</t>
  </si>
  <si>
    <t>Note:</t>
  </si>
  <si>
    <t>per year</t>
  </si>
  <si>
    <t>Modal split</t>
  </si>
  <si>
    <t>EUROPEAN UNION</t>
  </si>
  <si>
    <t>European Commission</t>
  </si>
  <si>
    <t>Directorate-General for Energy and Transport</t>
  </si>
  <si>
    <t>ENERGY AND TRANSPORT IN FIGURES</t>
  </si>
  <si>
    <t>Performance by Mode (graph)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</si>
  <si>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</si>
  <si>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Performance by Mode and Year </t>
  </si>
  <si>
    <t>Modal Split of Land Transport by Country</t>
  </si>
  <si>
    <t>Rail : High Speed Rail Transport</t>
  </si>
  <si>
    <t>Performance of Passenger Transport</t>
  </si>
  <si>
    <t>expressed in passenger-kilometres</t>
  </si>
  <si>
    <t>EU27</t>
  </si>
  <si>
    <t>3.3.9</t>
  </si>
  <si>
    <t>USA</t>
  </si>
  <si>
    <t>Performance by Mode of Transport : Passengers</t>
  </si>
  <si>
    <t>Passenger Cars *</t>
  </si>
  <si>
    <t>Motor- cycles</t>
  </si>
  <si>
    <t>Railway</t>
  </si>
  <si>
    <t>Bus</t>
  </si>
  <si>
    <t>Light and Commuter rail</t>
  </si>
  <si>
    <t>Average annual change</t>
  </si>
  <si>
    <t>% per year</t>
  </si>
  <si>
    <t>1995- 2000</t>
  </si>
  <si>
    <t>1990- 1995</t>
  </si>
  <si>
    <t>EU12</t>
  </si>
  <si>
    <r>
      <t>BE:</t>
    </r>
    <r>
      <rPr>
        <sz val="8"/>
        <rFont val="Arial"/>
        <family val="2"/>
      </rPr>
      <t xml:space="preserve"> include pkm by vehicles registered as light goods vehicles but used as personal cars</t>
    </r>
  </si>
  <si>
    <r>
      <t xml:space="preserve">DE: </t>
    </r>
    <r>
      <rPr>
        <sz val="8"/>
        <rFont val="Arial"/>
        <family val="2"/>
      </rPr>
      <t>incl.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1970=24.5, 1980=56.0, 1990=90.3</t>
    </r>
  </si>
  <si>
    <r>
      <t>UK:</t>
    </r>
    <r>
      <rPr>
        <sz val="8"/>
        <rFont val="Arial"/>
        <family val="2"/>
      </rPr>
      <t xml:space="preserve"> data refer to Great Britain only; include pkm by vans</t>
    </r>
  </si>
  <si>
    <r>
      <t>PT:</t>
    </r>
    <r>
      <rPr>
        <sz val="8"/>
        <rFont val="Arial"/>
        <family val="0"/>
      </rPr>
      <t xml:space="preserve"> data refer only to Lisbon and Porto Metro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</si>
  <si>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 = 17.7, 1980 = 22.0, 1990 = 17.5   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</si>
  <si>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1970=19.1, 1980=24.4, 1990=16.5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</si>
  <si>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 = 4.83, 1980 = 5.34,6 1990 = 6.50</t>
    </r>
  </si>
  <si>
    <t>Rail: High Speed Rail Transport</t>
  </si>
  <si>
    <t>USA: Performance by Mode of Transport: Passengers</t>
  </si>
  <si>
    <r>
      <t xml:space="preserve">CS: </t>
    </r>
    <r>
      <rPr>
        <sz val="8"/>
        <rFont val="Arial"/>
        <family val="2"/>
      </rPr>
      <t>1970: 20.5, 1980: 18.0  (these are included in EU27 and EU12 totals)</t>
    </r>
  </si>
  <si>
    <r>
      <t>Source</t>
    </r>
    <r>
      <rPr>
        <sz val="8"/>
        <rFont val="Arial"/>
        <family val="2"/>
      </rPr>
      <t xml:space="preserve">: tables 3.3.4, 3.3.5, 3.3.6, 3.3.7, estimates </t>
    </r>
  </si>
  <si>
    <r>
      <t>Source</t>
    </r>
    <r>
      <rPr>
        <sz val="8"/>
        <rFont val="Arial"/>
        <family val="2"/>
      </rPr>
      <t>: national statistics, International Transport Forum,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</si>
  <si>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 xml:space="preserve">: national statistics, International Transport Forum, study for DG Energy and Transport,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</si>
  <si>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 xml:space="preserve">national statistics, International Union of Public Transport, study for DG Energy and Transport, estimates </t>
    </r>
    <r>
      <rPr>
        <i/>
        <sz val="8"/>
        <rFont val="Arial"/>
        <family val="0"/>
      </rPr>
      <t>(in italics)</t>
    </r>
  </si>
  <si>
    <r>
      <t>Source</t>
    </r>
    <r>
      <rPr>
        <sz val="8"/>
        <rFont val="Arial"/>
        <family val="2"/>
      </rPr>
      <t xml:space="preserve">: Eurostat, International Transport Forum, Union Internationale des Chemins de Fer,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</si>
  <si>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</si>
  <si>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table 3.3.7</t>
    </r>
  </si>
  <si>
    <t>change %</t>
  </si>
  <si>
    <r>
      <t>Source</t>
    </r>
    <r>
      <rPr>
        <sz val="8"/>
        <rFont val="Arial"/>
        <family val="2"/>
      </rPr>
      <t>: U.S. Department of Transportation</t>
    </r>
  </si>
  <si>
    <r>
      <t xml:space="preserve">Note: </t>
    </r>
    <r>
      <rPr>
        <sz val="8"/>
        <rFont val="Arial"/>
        <family val="2"/>
      </rPr>
      <t xml:space="preserve">In this table, high-speed rail transport covers all traffic with high-speed rolling stock (incl. tilting trains able to run 200 km/h). This does not necessarily require high-speed infrastructure as defined in table 3.5.4.   </t>
    </r>
  </si>
  <si>
    <t>EU-27 Performance by Mode</t>
  </si>
  <si>
    <t>Pass -enger Cars</t>
  </si>
  <si>
    <t>Rail -way</t>
  </si>
  <si>
    <t>Modal Split of Passenger Transport on Land by Country</t>
  </si>
  <si>
    <r>
      <t>UK:</t>
    </r>
    <r>
      <rPr>
        <sz val="8"/>
        <rFont val="Arial"/>
        <family val="0"/>
      </rPr>
      <t xml:space="preserve"> GB data + 1.5 bln pkm throughout to account for Northern Ireland</t>
    </r>
  </si>
  <si>
    <r>
      <t>RO</t>
    </r>
    <r>
      <rPr>
        <b/>
        <sz val="8"/>
        <rFont val="Arial"/>
        <family val="0"/>
      </rPr>
      <t xml:space="preserve">: </t>
    </r>
    <r>
      <rPr>
        <sz val="8"/>
        <rFont val="Arial"/>
        <family val="0"/>
      </rPr>
      <t>data include only regular interurban transport</t>
    </r>
  </si>
  <si>
    <t>2000 -2008</t>
  </si>
  <si>
    <t>2007 - 2008</t>
  </si>
  <si>
    <t>1995 -2008</t>
  </si>
  <si>
    <t>change 07/08</t>
  </si>
  <si>
    <r>
      <t xml:space="preserve">FR: </t>
    </r>
    <r>
      <rPr>
        <sz val="8"/>
        <rFont val="Arial"/>
        <family val="0"/>
      </rPr>
      <t>data refer to the Paris Metro and RER (Réseau Express Régional) systems and to metros in other French cities</t>
    </r>
  </si>
  <si>
    <t>Data are not harmonised and therefore not fully comparable. Many data for 2008 are provisional.</t>
  </si>
  <si>
    <t>Data are not harmonised and therefore not fully comparable across countries.</t>
  </si>
  <si>
    <r>
      <t xml:space="preserve">Air </t>
    </r>
    <r>
      <rPr>
        <sz val="8"/>
        <rFont val="Arial"/>
        <family val="2"/>
      </rPr>
      <t>and</t>
    </r>
    <r>
      <rPr>
        <b/>
        <sz val="8"/>
        <rFont val="Arial"/>
        <family val="2"/>
      </rPr>
      <t xml:space="preserve"> Sea</t>
    </r>
    <r>
      <rPr>
        <sz val="8"/>
        <rFont val="Arial"/>
        <family val="2"/>
      </rPr>
      <t>: only domestic and intra-EU-27 transport; provisional estimates</t>
    </r>
  </si>
  <si>
    <r>
      <t>P2W</t>
    </r>
    <r>
      <rPr>
        <sz val="8"/>
        <rFont val="Arial"/>
        <family val="2"/>
      </rPr>
      <t>: Powered two-wheelers</t>
    </r>
  </si>
  <si>
    <r>
      <t>Source :</t>
    </r>
    <r>
      <rPr>
        <sz val="8"/>
        <rFont val="Arial"/>
        <family val="2"/>
      </rPr>
      <t xml:space="preserve"> tables 3.3.4, 3.3.5, 3.3.6, 3.3.7,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</si>
  <si>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 xml:space="preserve">If </t>
    </r>
    <r>
      <rPr>
        <b/>
        <sz val="8"/>
        <rFont val="Arial"/>
        <family val="2"/>
      </rPr>
      <t>powered two-wheelers</t>
    </r>
    <r>
      <rPr>
        <sz val="8"/>
        <rFont val="Arial"/>
        <family val="2"/>
      </rPr>
      <t xml:space="preserve"> are included, they account for </t>
    </r>
    <r>
      <rPr>
        <b/>
        <sz val="8"/>
        <rFont val="Arial"/>
        <family val="2"/>
      </rPr>
      <t>2.6%</t>
    </r>
    <r>
      <rPr>
        <sz val="8"/>
        <rFont val="Arial"/>
        <family val="2"/>
      </rPr>
      <t xml:space="preserve"> of the total in EU27 (2.8% in EU15, 1.8% in EU12), while the share of the other modes becomes: </t>
    </r>
  </si>
  <si>
    <r>
      <t>Source:</t>
    </r>
    <r>
      <rPr>
        <sz val="8"/>
        <rFont val="Arial"/>
        <family val="2"/>
      </rPr>
      <t xml:space="preserve"> tables 3.3.4, 3.3.5, 3.3.6, 3.3.7</t>
    </r>
  </si>
  <si>
    <t>*: Passenger Cars (2008: 4109 billion pkm) and other 2-axle 4-tyre vehicles (2008: 3093 billion pkm)</t>
  </si>
  <si>
    <t>2000- 2008</t>
  </si>
  <si>
    <r>
      <t>Air:</t>
    </r>
    <r>
      <rPr>
        <sz val="8"/>
        <rFont val="Arial"/>
        <family val="2"/>
      </rPr>
      <t xml:space="preserve"> up until 2001: including General aviation.</t>
    </r>
  </si>
  <si>
    <r>
      <t>CS:</t>
    </r>
    <r>
      <rPr>
        <sz val="8"/>
        <rFont val="Arial"/>
        <family val="0"/>
      </rPr>
      <t xml:space="preserve"> 1970: 21.4, 1980: 33.8, 1990: 43.4, 1991: 43.1, 1992: 35.0 (included in EU27 and EU12 totals)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</si>
</sst>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0.0%"/>
    <numFmt numFmtId="179" formatCode="0.0000"/>
    <numFmt numFmtId="180" formatCode="###,###,##0"/>
    <numFmt numFmtId="181" formatCode="0.00000"/>
    <numFmt numFmtId="182" formatCode="0.000000"/>
    <numFmt numFmtId="183" formatCode="0.0000000"/>
    <numFmt numFmtId="184" formatCode="#,###,##0"/>
    <numFmt numFmtId="185" formatCode="#,###,##0.0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0.0\ \ "/>
    <numFmt numFmtId="192" formatCode="0.0\ \ \ \ "/>
    <numFmt numFmtId="193" formatCode="#,##0.00\ "/>
    <numFmt numFmtId="194" formatCode="#,##0.000\ "/>
    <numFmt numFmtId="195" formatCode="##0\ "/>
    <numFmt numFmtId="196" formatCode="##0,,"/>
    <numFmt numFmtId="197" formatCode="##0,\ \ "/>
    <numFmt numFmtId="198" formatCode="0.0,%\ "/>
    <numFmt numFmtId="199" formatCode="0.0\ \ %\ "/>
    <numFmt numFmtId="200" formatCode="\+\ 0.0,%\ "/>
    <numFmt numFmtId="201" formatCode="\+###.#,%\ "/>
    <numFmt numFmtId="202" formatCode="\+##0.#,%\ "/>
    <numFmt numFmtId="203" formatCode="\+\ ##0.#,%\ "/>
    <numFmt numFmtId="204" formatCode="0.0,%"/>
    <numFmt numFmtId="205" formatCode="0.0%;\-0.0%"/>
  </numFmts>
  <fonts count="3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b/>
      <sz val="9"/>
      <name val="Arial"/>
      <family val="2"/>
    </font>
    <font>
      <sz val="8"/>
      <name val="Times"/>
      <family val="1"/>
    </font>
    <font>
      <i/>
      <sz val="8"/>
      <name val="Time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8"/>
      <name val="Helvetica"/>
      <family val="0"/>
    </font>
    <font>
      <b/>
      <sz val="8"/>
      <name val="Helvetica"/>
      <family val="0"/>
    </font>
    <font>
      <b/>
      <i/>
      <sz val="9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0" fillId="2" borderId="0" applyNumberFormat="0" applyBorder="0">
      <alignment/>
      <protection locked="0"/>
    </xf>
    <xf numFmtId="0" fontId="21" fillId="3" borderId="0" applyNumberFormat="0" applyBorder="0">
      <alignment/>
      <protection locked="0"/>
    </xf>
  </cellStyleXfs>
  <cellXfs count="45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 quotePrefix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7" fillId="0" borderId="0" xfId="0" applyFont="1" applyBorder="1" applyAlignment="1">
      <alignment vertical="top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4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70" fontId="2" fillId="0" borderId="0" xfId="0" applyNumberFormat="1" applyFont="1" applyAlignment="1">
      <alignment/>
    </xf>
    <xf numFmtId="0" fontId="3" fillId="4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right" vertical="top"/>
    </xf>
    <xf numFmtId="170" fontId="2" fillId="0" borderId="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4" xfId="0" applyNumberFormat="1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24" fillId="4" borderId="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4" fillId="4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8" xfId="0" applyFont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/>
    </xf>
    <xf numFmtId="1" fontId="3" fillId="5" borderId="9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wrapText="1"/>
    </xf>
    <xf numFmtId="170" fontId="2" fillId="4" borderId="2" xfId="0" applyNumberFormat="1" applyFont="1" applyFill="1" applyBorder="1" applyAlignment="1">
      <alignment/>
    </xf>
    <xf numFmtId="0" fontId="2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left" vertical="top"/>
    </xf>
    <xf numFmtId="168" fontId="2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9" fontId="3" fillId="0" borderId="8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vertical="top"/>
    </xf>
    <xf numFmtId="2" fontId="2" fillId="0" borderId="0" xfId="0" applyNumberFormat="1" applyFont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2" fontId="18" fillId="0" borderId="2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70" fontId="18" fillId="0" borderId="0" xfId="0" applyNumberFormat="1" applyFont="1" applyBorder="1" applyAlignment="1">
      <alignment/>
    </xf>
    <xf numFmtId="2" fontId="2" fillId="4" borderId="2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/>
    </xf>
    <xf numFmtId="2" fontId="18" fillId="4" borderId="2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/>
    </xf>
    <xf numFmtId="2" fontId="2" fillId="4" borderId="2" xfId="0" applyNumberFormat="1" applyFont="1" applyFill="1" applyBorder="1" applyAlignment="1" quotePrefix="1">
      <alignment horizontal="right" vertical="center"/>
    </xf>
    <xf numFmtId="2" fontId="2" fillId="4" borderId="0" xfId="0" applyNumberFormat="1" applyFont="1" applyFill="1" applyBorder="1" applyAlignment="1" quotePrefix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9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8" xfId="0" applyNumberFormat="1" applyFont="1" applyFill="1" applyBorder="1" applyAlignment="1">
      <alignment horizontal="right" vertical="center"/>
    </xf>
    <xf numFmtId="2" fontId="18" fillId="4" borderId="8" xfId="0" applyNumberFormat="1" applyFont="1" applyFill="1" applyBorder="1" applyAlignment="1">
      <alignment horizontal="right" vertical="center"/>
    </xf>
    <xf numFmtId="2" fontId="18" fillId="4" borderId="9" xfId="0" applyNumberFormat="1" applyFont="1" applyFill="1" applyBorder="1" applyAlignment="1">
      <alignment horizontal="right" vertical="center"/>
    </xf>
    <xf numFmtId="1" fontId="3" fillId="5" borderId="1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vertical="center"/>
    </xf>
    <xf numFmtId="2" fontId="19" fillId="4" borderId="14" xfId="0" applyNumberFormat="1" applyFont="1" applyFill="1" applyBorder="1" applyAlignment="1">
      <alignment vertical="center"/>
    </xf>
    <xf numFmtId="2" fontId="19" fillId="4" borderId="8" xfId="0" applyNumberFormat="1" applyFont="1" applyFill="1" applyBorder="1" applyAlignment="1">
      <alignment vertical="center"/>
    </xf>
    <xf numFmtId="2" fontId="19" fillId="4" borderId="2" xfId="0" applyNumberFormat="1" applyFont="1" applyFill="1" applyBorder="1" applyAlignment="1">
      <alignment vertical="center"/>
    </xf>
    <xf numFmtId="2" fontId="19" fillId="4" borderId="6" xfId="0" applyNumberFormat="1" applyFont="1" applyFill="1" applyBorder="1" applyAlignment="1">
      <alignment vertical="center"/>
    </xf>
    <xf numFmtId="2" fontId="19" fillId="4" borderId="0" xfId="0" applyNumberFormat="1" applyFont="1" applyFill="1" applyBorder="1" applyAlignment="1">
      <alignment vertical="center"/>
    </xf>
    <xf numFmtId="2" fontId="19" fillId="4" borderId="3" xfId="0" applyNumberFormat="1" applyFont="1" applyFill="1" applyBorder="1" applyAlignment="1">
      <alignment vertical="center"/>
    </xf>
    <xf numFmtId="2" fontId="19" fillId="4" borderId="7" xfId="0" applyNumberFormat="1" applyFont="1" applyFill="1" applyBorder="1" applyAlignment="1">
      <alignment vertical="center"/>
    </xf>
    <xf numFmtId="2" fontId="19" fillId="4" borderId="9" xfId="0" applyNumberFormat="1" applyFont="1" applyFill="1" applyBorder="1" applyAlignment="1">
      <alignment vertical="center"/>
    </xf>
    <xf numFmtId="2" fontId="19" fillId="4" borderId="1" xfId="0" applyNumberFormat="1" applyFont="1" applyFill="1" applyBorder="1" applyAlignment="1">
      <alignment horizontal="right" vertical="center"/>
    </xf>
    <xf numFmtId="2" fontId="19" fillId="4" borderId="8" xfId="0" applyNumberFormat="1" applyFont="1" applyFill="1" applyBorder="1" applyAlignment="1">
      <alignment horizontal="right" vertical="center"/>
    </xf>
    <xf numFmtId="2" fontId="19" fillId="4" borderId="2" xfId="0" applyNumberFormat="1" applyFont="1" applyFill="1" applyBorder="1" applyAlignment="1">
      <alignment horizontal="right" vertical="center"/>
    </xf>
    <xf numFmtId="2" fontId="19" fillId="4" borderId="6" xfId="0" applyNumberFormat="1" applyFont="1" applyFill="1" applyBorder="1" applyAlignment="1">
      <alignment horizontal="right" vertical="center"/>
    </xf>
    <xf numFmtId="2" fontId="19" fillId="4" borderId="0" xfId="0" applyNumberFormat="1" applyFont="1" applyFill="1" applyBorder="1" applyAlignment="1">
      <alignment horizontal="right" vertical="center"/>
    </xf>
    <xf numFmtId="2" fontId="19" fillId="4" borderId="3" xfId="0" applyNumberFormat="1" applyFont="1" applyFill="1" applyBorder="1" applyAlignment="1">
      <alignment horizontal="right" vertical="center"/>
    </xf>
    <xf numFmtId="2" fontId="19" fillId="4" borderId="9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right" vertical="center"/>
    </xf>
    <xf numFmtId="2" fontId="3" fillId="4" borderId="0" xfId="0" applyNumberFormat="1" applyFont="1" applyFill="1" applyBorder="1" applyAlignment="1">
      <alignment horizontal="right" vertical="center"/>
    </xf>
    <xf numFmtId="2" fontId="3" fillId="4" borderId="9" xfId="0" applyNumberFormat="1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3" fillId="4" borderId="3" xfId="0" applyNumberFormat="1" applyFont="1" applyFill="1" applyBorder="1" applyAlignment="1">
      <alignment vertical="center"/>
    </xf>
    <xf numFmtId="171" fontId="18" fillId="0" borderId="6" xfId="0" applyNumberFormat="1" applyFont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18" fillId="0" borderId="4" xfId="0" applyNumberFormat="1" applyFont="1" applyBorder="1" applyAlignment="1">
      <alignment horizontal="center" vertical="center"/>
    </xf>
    <xf numFmtId="171" fontId="19" fillId="0" borderId="1" xfId="0" applyNumberFormat="1" applyFont="1" applyBorder="1" applyAlignment="1">
      <alignment horizontal="center" vertical="center"/>
    </xf>
    <xf numFmtId="171" fontId="19" fillId="0" borderId="2" xfId="0" applyNumberFormat="1" applyFont="1" applyBorder="1" applyAlignment="1">
      <alignment horizontal="center" vertical="center"/>
    </xf>
    <xf numFmtId="171" fontId="18" fillId="0" borderId="7" xfId="0" applyNumberFormat="1" applyFont="1" applyBorder="1" applyAlignment="1">
      <alignment horizontal="center" vertical="center"/>
    </xf>
    <xf numFmtId="171" fontId="18" fillId="0" borderId="9" xfId="0" applyNumberFormat="1" applyFont="1" applyBorder="1" applyAlignment="1">
      <alignment horizontal="center" vertical="center"/>
    </xf>
    <xf numFmtId="171" fontId="2" fillId="0" borderId="9" xfId="0" applyNumberFormat="1" applyFont="1" applyBorder="1" applyAlignment="1">
      <alignment horizontal="center" vertical="center"/>
    </xf>
    <xf numFmtId="171" fontId="18" fillId="0" borderId="12" xfId="0" applyNumberFormat="1" applyFont="1" applyBorder="1" applyAlignment="1">
      <alignment horizontal="center" vertical="center"/>
    </xf>
    <xf numFmtId="205" fontId="26" fillId="0" borderId="14" xfId="0" applyNumberFormat="1" applyFont="1" applyFill="1" applyBorder="1" applyAlignment="1">
      <alignment horizontal="right" vertical="center"/>
    </xf>
    <xf numFmtId="205" fontId="26" fillId="0" borderId="8" xfId="0" applyNumberFormat="1" applyFont="1" applyFill="1" applyBorder="1" applyAlignment="1">
      <alignment horizontal="right" vertical="center"/>
    </xf>
    <xf numFmtId="205" fontId="27" fillId="0" borderId="1" xfId="0" applyNumberFormat="1" applyFont="1" applyFill="1" applyBorder="1" applyAlignment="1">
      <alignment horizontal="right" vertical="center"/>
    </xf>
    <xf numFmtId="205" fontId="26" fillId="0" borderId="15" xfId="0" applyNumberFormat="1" applyFont="1" applyFill="1" applyBorder="1" applyAlignment="1">
      <alignment horizontal="right" vertical="center"/>
    </xf>
    <xf numFmtId="205" fontId="26" fillId="0" borderId="16" xfId="0" applyNumberFormat="1" applyFont="1" applyFill="1" applyBorder="1" applyAlignment="1">
      <alignment horizontal="right" vertical="center"/>
    </xf>
    <xf numFmtId="205" fontId="27" fillId="0" borderId="17" xfId="0" applyNumberFormat="1" applyFont="1" applyFill="1" applyBorder="1" applyAlignment="1">
      <alignment horizontal="right" vertical="center"/>
    </xf>
    <xf numFmtId="205" fontId="26" fillId="0" borderId="7" xfId="0" applyNumberFormat="1" applyFont="1" applyFill="1" applyBorder="1" applyAlignment="1">
      <alignment horizontal="right" vertical="center"/>
    </xf>
    <xf numFmtId="205" fontId="26" fillId="0" borderId="9" xfId="0" applyNumberFormat="1" applyFont="1" applyFill="1" applyBorder="1" applyAlignment="1">
      <alignment horizontal="right" vertical="center"/>
    </xf>
    <xf numFmtId="205" fontId="27" fillId="0" borderId="3" xfId="0" applyNumberFormat="1" applyFont="1" applyFill="1" applyBorder="1" applyAlignment="1">
      <alignment horizontal="right" vertical="center"/>
    </xf>
    <xf numFmtId="170" fontId="18" fillId="0" borderId="14" xfId="0" applyNumberFormat="1" applyFont="1" applyBorder="1" applyAlignment="1">
      <alignment/>
    </xf>
    <xf numFmtId="170" fontId="18" fillId="0" borderId="8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18" fillId="0" borderId="6" xfId="0" applyNumberFormat="1" applyFont="1" applyBorder="1" applyAlignment="1">
      <alignment/>
    </xf>
    <xf numFmtId="170" fontId="18" fillId="0" borderId="4" xfId="0" applyNumberFormat="1" applyFont="1" applyBorder="1" applyAlignment="1">
      <alignment/>
    </xf>
    <xf numFmtId="170" fontId="18" fillId="0" borderId="7" xfId="0" applyNumberFormat="1" applyFont="1" applyBorder="1" applyAlignment="1">
      <alignment/>
    </xf>
    <xf numFmtId="170" fontId="18" fillId="0" borderId="9" xfId="0" applyNumberFormat="1" applyFont="1" applyBorder="1" applyAlignment="1">
      <alignment/>
    </xf>
    <xf numFmtId="170" fontId="18" fillId="0" borderId="12" xfId="0" applyNumberFormat="1" applyFont="1" applyBorder="1" applyAlignment="1">
      <alignment/>
    </xf>
    <xf numFmtId="0" fontId="3" fillId="0" borderId="0" xfId="0" applyNumberFormat="1" applyFont="1" applyAlignment="1" applyProtection="1">
      <alignment horizontal="left" vertical="center"/>
      <protection locked="0"/>
    </xf>
    <xf numFmtId="168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/>
    </xf>
    <xf numFmtId="170" fontId="19" fillId="0" borderId="8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9" xfId="0" applyNumberFormat="1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righ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70" fontId="28" fillId="4" borderId="8" xfId="0" applyNumberFormat="1" applyFont="1" applyFill="1" applyBorder="1" applyAlignment="1">
      <alignment/>
    </xf>
    <xf numFmtId="170" fontId="28" fillId="4" borderId="10" xfId="0" applyNumberFormat="1" applyFont="1" applyFill="1" applyBorder="1" applyAlignment="1">
      <alignment/>
    </xf>
    <xf numFmtId="170" fontId="28" fillId="4" borderId="0" xfId="0" applyNumberFormat="1" applyFont="1" applyFill="1" applyBorder="1" applyAlignment="1">
      <alignment/>
    </xf>
    <xf numFmtId="170" fontId="28" fillId="4" borderId="4" xfId="0" applyNumberFormat="1" applyFont="1" applyFill="1" applyBorder="1" applyAlignment="1">
      <alignment/>
    </xf>
    <xf numFmtId="170" fontId="28" fillId="4" borderId="9" xfId="0" applyNumberFormat="1" applyFont="1" applyFill="1" applyBorder="1" applyAlignment="1">
      <alignment/>
    </xf>
    <xf numFmtId="170" fontId="28" fillId="4" borderId="12" xfId="0" applyNumberFormat="1" applyFont="1" applyFill="1" applyBorder="1" applyAlignment="1">
      <alignment/>
    </xf>
    <xf numFmtId="170" fontId="29" fillId="4" borderId="0" xfId="0" applyNumberFormat="1" applyFont="1" applyFill="1" applyBorder="1" applyAlignment="1">
      <alignment/>
    </xf>
    <xf numFmtId="170" fontId="29" fillId="4" borderId="4" xfId="0" applyNumberFormat="1" applyFont="1" applyFill="1" applyBorder="1" applyAlignment="1">
      <alignment/>
    </xf>
    <xf numFmtId="170" fontId="15" fillId="4" borderId="0" xfId="0" applyNumberFormat="1" applyFont="1" applyFill="1" applyBorder="1" applyAlignment="1">
      <alignment/>
    </xf>
    <xf numFmtId="170" fontId="15" fillId="4" borderId="4" xfId="0" applyNumberFormat="1" applyFont="1" applyFill="1" applyBorder="1" applyAlignment="1">
      <alignment/>
    </xf>
    <xf numFmtId="170" fontId="29" fillId="4" borderId="8" xfId="0" applyNumberFormat="1" applyFont="1" applyFill="1" applyBorder="1" applyAlignment="1">
      <alignment/>
    </xf>
    <xf numFmtId="170" fontId="29" fillId="4" borderId="10" xfId="0" applyNumberFormat="1" applyFont="1" applyFill="1" applyBorder="1" applyAlignment="1">
      <alignment/>
    </xf>
    <xf numFmtId="170" fontId="29" fillId="4" borderId="9" xfId="0" applyNumberFormat="1" applyFont="1" applyFill="1" applyBorder="1" applyAlignment="1">
      <alignment/>
    </xf>
    <xf numFmtId="170" fontId="29" fillId="4" borderId="12" xfId="0" applyNumberFormat="1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170" fontId="2" fillId="0" borderId="11" xfId="0" applyNumberFormat="1" applyFont="1" applyFill="1" applyBorder="1" applyAlignment="1">
      <alignment horizontal="right" vertical="center"/>
    </xf>
    <xf numFmtId="170" fontId="2" fillId="0" borderId="18" xfId="0" applyNumberFormat="1" applyFont="1" applyFill="1" applyBorder="1" applyAlignment="1">
      <alignment horizontal="right" vertical="center"/>
    </xf>
    <xf numFmtId="170" fontId="2" fillId="0" borderId="18" xfId="0" applyNumberFormat="1" applyFont="1" applyBorder="1" applyAlignment="1">
      <alignment vertical="center"/>
    </xf>
    <xf numFmtId="170" fontId="2" fillId="0" borderId="19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horizontal="right" vertical="center"/>
    </xf>
    <xf numFmtId="170" fontId="2" fillId="0" borderId="18" xfId="0" applyNumberFormat="1" applyFont="1" applyBorder="1" applyAlignment="1">
      <alignment horizontal="right" vertical="center"/>
    </xf>
    <xf numFmtId="170" fontId="2" fillId="0" borderId="11" xfId="0" applyNumberFormat="1" applyFont="1" applyBorder="1" applyAlignment="1">
      <alignment vertical="center"/>
    </xf>
    <xf numFmtId="170" fontId="2" fillId="0" borderId="18" xfId="0" applyNumberFormat="1" applyFont="1" applyBorder="1" applyAlignment="1">
      <alignment vertical="center"/>
    </xf>
    <xf numFmtId="170" fontId="2" fillId="0" borderId="19" xfId="0" applyNumberFormat="1" applyFont="1" applyBorder="1" applyAlignment="1">
      <alignment vertical="center"/>
    </xf>
    <xf numFmtId="170" fontId="19" fillId="4" borderId="1" xfId="0" applyNumberFormat="1" applyFont="1" applyFill="1" applyBorder="1" applyAlignment="1">
      <alignment vertical="center"/>
    </xf>
    <xf numFmtId="170" fontId="19" fillId="4" borderId="2" xfId="0" applyNumberFormat="1" applyFont="1" applyFill="1" applyBorder="1" applyAlignment="1">
      <alignment vertical="center"/>
    </xf>
    <xf numFmtId="170" fontId="19" fillId="4" borderId="3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Border="1" applyAlignment="1">
      <alignment horizontal="right" vertical="center"/>
    </xf>
    <xf numFmtId="170" fontId="18" fillId="4" borderId="1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19" fillId="4" borderId="1" xfId="0" applyNumberFormat="1" applyFont="1" applyFill="1" applyBorder="1" applyAlignment="1">
      <alignment horizontal="right" vertical="center"/>
    </xf>
    <xf numFmtId="170" fontId="19" fillId="4" borderId="2" xfId="0" applyNumberFormat="1" applyFont="1" applyFill="1" applyBorder="1" applyAlignment="1">
      <alignment horizontal="right" vertical="center"/>
    </xf>
    <xf numFmtId="170" fontId="19" fillId="4" borderId="3" xfId="0" applyNumberFormat="1" applyFont="1" applyFill="1" applyBorder="1" applyAlignment="1">
      <alignment horizontal="right" vertical="center"/>
    </xf>
    <xf numFmtId="170" fontId="2" fillId="4" borderId="1" xfId="0" applyNumberFormat="1" applyFont="1" applyFill="1" applyBorder="1" applyAlignment="1">
      <alignment horizontal="right" vertical="center"/>
    </xf>
    <xf numFmtId="49" fontId="3" fillId="0" borderId="8" xfId="0" applyNumberFormat="1" applyFont="1" applyBorder="1" applyAlignment="1">
      <alignment horizontal="left"/>
    </xf>
    <xf numFmtId="0" fontId="2" fillId="0" borderId="0" xfId="0" applyFont="1" applyAlignment="1">
      <alignment/>
    </xf>
    <xf numFmtId="170" fontId="2" fillId="4" borderId="2" xfId="0" applyNumberFormat="1" applyFont="1" applyFill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4" borderId="3" xfId="0" applyNumberFormat="1" applyFont="1" applyFill="1" applyBorder="1" applyAlignment="1">
      <alignment horizontal="right" vertical="center"/>
    </xf>
    <xf numFmtId="170" fontId="3" fillId="4" borderId="1" xfId="0" applyNumberFormat="1" applyFont="1" applyFill="1" applyBorder="1" applyAlignment="1">
      <alignment horizontal="right" vertical="center"/>
    </xf>
    <xf numFmtId="170" fontId="3" fillId="4" borderId="2" xfId="0" applyNumberFormat="1" applyFont="1" applyFill="1" applyBorder="1" applyAlignment="1">
      <alignment horizontal="right" vertical="center"/>
    </xf>
    <xf numFmtId="170" fontId="3" fillId="4" borderId="3" xfId="0" applyNumberFormat="1" applyFont="1" applyFill="1" applyBorder="1" applyAlignment="1">
      <alignment vertical="center"/>
    </xf>
    <xf numFmtId="0" fontId="24" fillId="4" borderId="20" xfId="0" applyFont="1" applyFill="1" applyBorder="1" applyAlignment="1">
      <alignment horizontal="center" vertical="center"/>
    </xf>
    <xf numFmtId="168" fontId="2" fillId="0" borderId="21" xfId="0" applyNumberFormat="1" applyFont="1" applyFill="1" applyBorder="1" applyAlignment="1">
      <alignment horizontal="center" vertical="center"/>
    </xf>
    <xf numFmtId="168" fontId="2" fillId="0" borderId="22" xfId="0" applyNumberFormat="1" applyFont="1" applyFill="1" applyBorder="1" applyAlignment="1">
      <alignment horizontal="center" vertical="center"/>
    </xf>
    <xf numFmtId="168" fontId="2" fillId="0" borderId="23" xfId="0" applyNumberFormat="1" applyFont="1" applyFill="1" applyBorder="1" applyAlignment="1">
      <alignment horizontal="center" vertical="center"/>
    </xf>
    <xf numFmtId="168" fontId="3" fillId="0" borderId="20" xfId="0" applyNumberFormat="1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horizontal="center" vertical="center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23" xfId="0" applyNumberFormat="1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center" wrapText="1"/>
    </xf>
    <xf numFmtId="170" fontId="2" fillId="0" borderId="24" xfId="0" applyNumberFormat="1" applyFont="1" applyFill="1" applyBorder="1" applyAlignment="1">
      <alignment horizontal="center" vertical="center"/>
    </xf>
    <xf numFmtId="170" fontId="2" fillId="0" borderId="25" xfId="0" applyNumberFormat="1" applyFont="1" applyFill="1" applyBorder="1" applyAlignment="1">
      <alignment horizontal="center" vertical="center"/>
    </xf>
    <xf numFmtId="170" fontId="3" fillId="0" borderId="26" xfId="0" applyNumberFormat="1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 wrapText="1"/>
    </xf>
    <xf numFmtId="170" fontId="2" fillId="0" borderId="21" xfId="0" applyNumberFormat="1" applyFont="1" applyFill="1" applyBorder="1" applyAlignment="1">
      <alignment horizontal="center" vertical="center"/>
    </xf>
    <xf numFmtId="170" fontId="2" fillId="0" borderId="22" xfId="0" applyNumberFormat="1" applyFont="1" applyFill="1" applyBorder="1" applyAlignment="1">
      <alignment horizontal="center" vertical="center"/>
    </xf>
    <xf numFmtId="170" fontId="2" fillId="0" borderId="23" xfId="0" applyNumberFormat="1" applyFont="1" applyFill="1" applyBorder="1" applyAlignment="1">
      <alignment horizontal="center" vertical="center"/>
    </xf>
    <xf numFmtId="170" fontId="3" fillId="0" borderId="23" xfId="0" applyNumberFormat="1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/>
    </xf>
    <xf numFmtId="170" fontId="2" fillId="0" borderId="2" xfId="0" applyNumberFormat="1" applyFont="1" applyFill="1" applyBorder="1" applyAlignment="1">
      <alignment horizontal="center" vertical="center"/>
    </xf>
    <xf numFmtId="170" fontId="15" fillId="0" borderId="0" xfId="0" applyNumberFormat="1" applyFont="1" applyAlignment="1">
      <alignment/>
    </xf>
    <xf numFmtId="170" fontId="29" fillId="4" borderId="0" xfId="0" applyNumberFormat="1" applyFont="1" applyFill="1" applyBorder="1" applyAlignment="1">
      <alignment horizontal="center"/>
    </xf>
    <xf numFmtId="170" fontId="29" fillId="4" borderId="4" xfId="0" applyNumberFormat="1" applyFont="1" applyFill="1" applyBorder="1" applyAlignment="1">
      <alignment horizontal="center"/>
    </xf>
    <xf numFmtId="170" fontId="15" fillId="4" borderId="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 vertical="top"/>
      <protection locked="0"/>
    </xf>
    <xf numFmtId="170" fontId="29" fillId="0" borderId="0" xfId="0" applyNumberFormat="1" applyFont="1" applyFill="1" applyBorder="1" applyAlignment="1">
      <alignment/>
    </xf>
    <xf numFmtId="170" fontId="29" fillId="0" borderId="4" xfId="0" applyNumberFormat="1" applyFont="1" applyFill="1" applyBorder="1" applyAlignment="1">
      <alignment/>
    </xf>
    <xf numFmtId="170" fontId="15" fillId="0" borderId="0" xfId="0" applyNumberFormat="1" applyFont="1" applyFill="1" applyBorder="1" applyAlignment="1">
      <alignment/>
    </xf>
    <xf numFmtId="170" fontId="15" fillId="0" borderId="4" xfId="0" applyNumberFormat="1" applyFont="1" applyFill="1" applyBorder="1" applyAlignment="1">
      <alignment/>
    </xf>
    <xf numFmtId="170" fontId="29" fillId="0" borderId="4" xfId="0" applyNumberFormat="1" applyFont="1" applyFill="1" applyBorder="1" applyAlignment="1">
      <alignment horizontal="center"/>
    </xf>
    <xf numFmtId="170" fontId="29" fillId="0" borderId="0" xfId="0" applyNumberFormat="1" applyFont="1" applyFill="1" applyBorder="1" applyAlignment="1">
      <alignment horizontal="center"/>
    </xf>
    <xf numFmtId="170" fontId="15" fillId="0" borderId="4" xfId="0" applyNumberFormat="1" applyFont="1" applyFill="1" applyBorder="1" applyAlignment="1">
      <alignment horizontal="center"/>
    </xf>
    <xf numFmtId="170" fontId="15" fillId="0" borderId="8" xfId="0" applyNumberFormat="1" applyFont="1" applyFill="1" applyBorder="1" applyAlignment="1">
      <alignment/>
    </xf>
    <xf numFmtId="170" fontId="15" fillId="0" borderId="8" xfId="0" applyNumberFormat="1" applyFont="1" applyFill="1" applyBorder="1" applyAlignment="1">
      <alignment horizontal="center"/>
    </xf>
    <xf numFmtId="170" fontId="15" fillId="0" borderId="10" xfId="0" applyNumberFormat="1" applyFont="1" applyFill="1" applyBorder="1" applyAlignment="1">
      <alignment horizontal="center"/>
    </xf>
    <xf numFmtId="170" fontId="15" fillId="0" borderId="9" xfId="0" applyNumberFormat="1" applyFont="1" applyFill="1" applyBorder="1" applyAlignment="1">
      <alignment/>
    </xf>
    <xf numFmtId="170" fontId="15" fillId="0" borderId="12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2" fontId="2" fillId="0" borderId="2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18" fillId="0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/>
    </xf>
    <xf numFmtId="2" fontId="2" fillId="0" borderId="0" xfId="0" applyNumberFormat="1" applyFont="1" applyFill="1" applyAlignment="1">
      <alignment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170" fontId="2" fillId="0" borderId="1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2" fontId="2" fillId="0" borderId="27" xfId="0" applyNumberFormat="1" applyFont="1" applyFill="1" applyBorder="1" applyAlignment="1">
      <alignment horizontal="right" vertical="center"/>
    </xf>
    <xf numFmtId="2" fontId="18" fillId="0" borderId="9" xfId="0" applyNumberFormat="1" applyFont="1" applyFill="1" applyBorder="1" applyAlignment="1">
      <alignment horizontal="right" vertical="center"/>
    </xf>
    <xf numFmtId="170" fontId="18" fillId="0" borderId="3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6" xfId="0" applyNumberFormat="1" applyFont="1" applyFill="1" applyBorder="1" applyAlignment="1">
      <alignment horizontal="right" vertical="center"/>
    </xf>
    <xf numFmtId="2" fontId="2" fillId="0" borderId="6" xfId="0" applyNumberFormat="1" applyFont="1" applyFill="1" applyBorder="1" applyAlignment="1">
      <alignment horizontal="center" vertical="center"/>
    </xf>
    <xf numFmtId="170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/>
    </xf>
    <xf numFmtId="0" fontId="24" fillId="5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178" fontId="2" fillId="0" borderId="2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0" fontId="3" fillId="5" borderId="11" xfId="0" applyFont="1" applyFill="1" applyBorder="1" applyAlignment="1">
      <alignment horizontal="center" vertical="center" wrapText="1"/>
    </xf>
    <xf numFmtId="170" fontId="2" fillId="0" borderId="0" xfId="0" applyNumberFormat="1" applyFont="1" applyAlignment="1">
      <alignment horizontal="center"/>
    </xf>
    <xf numFmtId="170" fontId="2" fillId="0" borderId="10" xfId="0" applyNumberFormat="1" applyFont="1" applyBorder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170" fontId="2" fillId="0" borderId="4" xfId="0" applyNumberFormat="1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70" fontId="2" fillId="0" borderId="9" xfId="0" applyNumberFormat="1" applyFont="1" applyBorder="1" applyAlignment="1">
      <alignment horizontal="center"/>
    </xf>
    <xf numFmtId="170" fontId="2" fillId="0" borderId="12" xfId="0" applyNumberFormat="1" applyFont="1" applyBorder="1" applyAlignment="1">
      <alignment horizontal="center"/>
    </xf>
    <xf numFmtId="170" fontId="2" fillId="0" borderId="3" xfId="0" applyNumberFormat="1" applyFont="1" applyBorder="1" applyAlignment="1">
      <alignment horizontal="center"/>
    </xf>
    <xf numFmtId="170" fontId="18" fillId="0" borderId="4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 quotePrefix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 quotePrefix="1">
      <alignment horizontal="center" vertical="center"/>
    </xf>
    <xf numFmtId="2" fontId="3" fillId="0" borderId="2" xfId="0" applyNumberFormat="1" applyFont="1" applyFill="1" applyBorder="1" applyAlignment="1">
      <alignment horizontal="right" vertical="center"/>
    </xf>
    <xf numFmtId="2" fontId="19" fillId="0" borderId="2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19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top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8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 quotePrefix="1">
      <alignment horizontal="left" vertical="top"/>
    </xf>
    <xf numFmtId="0" fontId="2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Passenger Transport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1995 - 2008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billion passenger-kilometres</a:t>
            </a:r>
          </a:p>
        </c:rich>
      </c:tx>
      <c:layout>
        <c:manualLayout>
          <c:xMode val="factor"/>
          <c:yMode val="factor"/>
          <c:x val="-0.0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05"/>
          <c:w val="0.948"/>
          <c:h val="0.79275"/>
        </c:manualLayout>
      </c:layout>
      <c:lineChart>
        <c:grouping val="standard"/>
        <c:varyColors val="0"/>
        <c:ser>
          <c:idx val="1"/>
          <c:order val="0"/>
          <c:tx>
            <c:v>Passenger Cars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passeng_graph!$C$37:$P$37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8735382"/>
        <c:axId val="57291847"/>
      </c:lineChart>
      <c:lineChart>
        <c:grouping val="standard"/>
        <c:varyColors val="0"/>
        <c:ser>
          <c:idx val="0"/>
          <c:order val="1"/>
          <c:tx>
            <c:v>Bus and coach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passeng_graph!$C$39:$P$39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Air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passeng_graph!$C$42:$P$42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Railway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passeng_graph!$C$40:$P$40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Powered 2-wheelers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passeng_graph!$C$38:$P$38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Tram and metro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passeng_graph!$C$41:$P$41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6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passeng_graph!$C$43:$P$43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5864576"/>
        <c:axId val="10128001"/>
      </c:lineChart>
      <c:catAx>
        <c:axId val="287353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291847"/>
        <c:crosses val="autoZero"/>
        <c:auto val="0"/>
        <c:lblOffset val="100"/>
        <c:tickLblSkip val="1"/>
        <c:noMultiLvlLbl val="0"/>
      </c:catAx>
      <c:valAx>
        <c:axId val="5729184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Passenger Cars scale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35382"/>
        <c:crossesAt val="1"/>
        <c:crossBetween val="midCat"/>
        <c:dispUnits/>
      </c:valAx>
      <c:catAx>
        <c:axId val="45864576"/>
        <c:scaling>
          <c:orientation val="minMax"/>
        </c:scaling>
        <c:axPos val="b"/>
        <c:delete val="1"/>
        <c:majorTickMark val="in"/>
        <c:minorTickMark val="none"/>
        <c:tickLblPos val="nextTo"/>
        <c:crossAx val="10128001"/>
        <c:crosses val="autoZero"/>
        <c:auto val="0"/>
        <c:lblOffset val="100"/>
        <c:tickLblSkip val="1"/>
        <c:noMultiLvlLbl val="0"/>
      </c:catAx>
      <c:valAx>
        <c:axId val="10128001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Scale for other modes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86457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2125"/>
          <c:w val="0.94"/>
          <c:h val="0.078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13</xdr:col>
      <xdr:colOff>400050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85725" y="200025"/>
        <a:ext cx="59531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59"/>
  <sheetViews>
    <sheetView tabSelected="1" workbookViewId="0" topLeftCell="A1">
      <selection activeCell="B6" sqref="B6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411" t="s">
        <v>68</v>
      </c>
      <c r="C1" s="411"/>
      <c r="D1" s="411"/>
      <c r="E1" s="411"/>
    </row>
    <row r="2" spans="2:5" ht="19.5" customHeight="1">
      <c r="B2" s="412" t="s">
        <v>69</v>
      </c>
      <c r="C2" s="412"/>
      <c r="D2" s="412"/>
      <c r="E2" s="412"/>
    </row>
    <row r="3" spans="2:5" ht="19.5" customHeight="1">
      <c r="B3" s="413" t="s">
        <v>70</v>
      </c>
      <c r="C3" s="413"/>
      <c r="D3" s="413"/>
      <c r="E3" s="413"/>
    </row>
    <row r="4" spans="2:5" ht="19.5" customHeight="1">
      <c r="B4" s="414" t="s">
        <v>73</v>
      </c>
      <c r="C4" s="414"/>
      <c r="D4" s="414"/>
      <c r="E4" s="414"/>
    </row>
    <row r="5" spans="2:5" ht="19.5" customHeight="1">
      <c r="B5" s="83"/>
      <c r="C5" s="83"/>
      <c r="D5" s="83"/>
      <c r="E5" s="83"/>
    </row>
    <row r="6" ht="19.5" customHeight="1"/>
    <row r="7" spans="2:5" ht="19.5" customHeight="1">
      <c r="B7" s="411" t="s">
        <v>71</v>
      </c>
      <c r="C7" s="411"/>
      <c r="D7" s="411"/>
      <c r="E7" s="411"/>
    </row>
    <row r="8" spans="2:5" ht="19.5" customHeight="1">
      <c r="B8" s="410">
        <v>2010</v>
      </c>
      <c r="C8" s="410"/>
      <c r="D8" s="410"/>
      <c r="E8" s="410"/>
    </row>
    <row r="9" spans="2:5" ht="19.5" customHeight="1">
      <c r="B9" s="84"/>
      <c r="C9" s="84"/>
      <c r="D9" s="84"/>
      <c r="E9" s="84"/>
    </row>
    <row r="10" spans="2:5" ht="19.5" customHeight="1">
      <c r="B10" s="415" t="s">
        <v>60</v>
      </c>
      <c r="C10" s="415"/>
      <c r="D10" s="415"/>
      <c r="E10" s="415"/>
    </row>
    <row r="11" spans="2:5" ht="19.5" customHeight="1">
      <c r="B11" s="7"/>
      <c r="E11" s="7"/>
    </row>
    <row r="12" spans="2:5" ht="19.5" customHeight="1">
      <c r="B12" s="416" t="s">
        <v>0</v>
      </c>
      <c r="C12" s="416"/>
      <c r="D12" s="416"/>
      <c r="E12" s="416"/>
    </row>
    <row r="13" spans="2:5" ht="19.5" customHeight="1">
      <c r="B13" s="416" t="s">
        <v>77</v>
      </c>
      <c r="C13" s="416"/>
      <c r="D13" s="416"/>
      <c r="E13" s="416"/>
    </row>
    <row r="14" spans="2:5" ht="19.5" customHeight="1">
      <c r="B14" s="416" t="s">
        <v>78</v>
      </c>
      <c r="C14" s="416"/>
      <c r="D14" s="416"/>
      <c r="E14" s="416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85" t="s">
        <v>48</v>
      </c>
      <c r="C17" s="86"/>
      <c r="D17" s="87" t="s">
        <v>72</v>
      </c>
      <c r="E17" s="7"/>
    </row>
    <row r="18" spans="2:5" ht="15" customHeight="1">
      <c r="B18" s="85" t="s">
        <v>49</v>
      </c>
      <c r="C18" s="86"/>
      <c r="D18" s="87" t="s">
        <v>74</v>
      </c>
      <c r="E18" s="7"/>
    </row>
    <row r="19" spans="2:5" ht="15" customHeight="1">
      <c r="B19" s="85" t="s">
        <v>51</v>
      </c>
      <c r="C19" s="86"/>
      <c r="D19" s="87" t="s">
        <v>75</v>
      </c>
      <c r="E19" s="7"/>
    </row>
    <row r="20" spans="2:5" ht="15" customHeight="1">
      <c r="B20" s="85" t="s">
        <v>52</v>
      </c>
      <c r="C20" s="86"/>
      <c r="D20" s="89" t="s">
        <v>57</v>
      </c>
      <c r="E20" s="7"/>
    </row>
    <row r="21" spans="2:5" ht="15" customHeight="1">
      <c r="B21" s="85" t="s">
        <v>53</v>
      </c>
      <c r="C21" s="86"/>
      <c r="D21" s="89" t="s">
        <v>58</v>
      </c>
      <c r="E21" s="7"/>
    </row>
    <row r="22" spans="2:4" ht="15" customHeight="1">
      <c r="B22" s="85" t="s">
        <v>54</v>
      </c>
      <c r="C22" s="88"/>
      <c r="D22" s="89" t="s">
        <v>2</v>
      </c>
    </row>
    <row r="23" spans="2:5" ht="15" customHeight="1">
      <c r="B23" s="85" t="s">
        <v>55</v>
      </c>
      <c r="C23" s="88"/>
      <c r="D23" s="89" t="s">
        <v>59</v>
      </c>
      <c r="E23"/>
    </row>
    <row r="24" spans="2:5" ht="15" customHeight="1">
      <c r="B24" s="85" t="s">
        <v>56</v>
      </c>
      <c r="C24" s="88"/>
      <c r="D24" s="87" t="s">
        <v>100</v>
      </c>
      <c r="E24" s="7"/>
    </row>
    <row r="25" spans="2:5" ht="15" customHeight="1">
      <c r="B25" s="85" t="s">
        <v>80</v>
      </c>
      <c r="C25" s="104"/>
      <c r="D25" s="87" t="s">
        <v>101</v>
      </c>
      <c r="E25" s="7"/>
    </row>
    <row r="26" spans="2:5" ht="12.75">
      <c r="B26" s="7"/>
      <c r="E26" s="7"/>
    </row>
    <row r="27" spans="2:5" ht="12.75">
      <c r="B27" s="7"/>
      <c r="E27" s="7"/>
    </row>
    <row r="28" ht="12.75">
      <c r="C28"/>
    </row>
    <row r="29" spans="2:5" ht="12.75">
      <c r="B29"/>
      <c r="C29"/>
      <c r="D29"/>
      <c r="E29"/>
    </row>
    <row r="30" spans="2:5" ht="13.5">
      <c r="B30" s="9"/>
      <c r="E30"/>
    </row>
    <row r="31" spans="2:5" ht="12.75">
      <c r="B31" s="7"/>
      <c r="E31" s="7"/>
    </row>
    <row r="32" spans="2:5" ht="12.75">
      <c r="B32" s="7"/>
      <c r="E32" s="7"/>
    </row>
    <row r="33" spans="2:5" ht="12.75">
      <c r="B33" s="7"/>
      <c r="E33" s="7"/>
    </row>
    <row r="34" spans="2:5" ht="12.75">
      <c r="B34" s="7"/>
      <c r="E34" s="7"/>
    </row>
    <row r="35" spans="2:5" ht="12.75">
      <c r="B35" s="7"/>
      <c r="E35" s="7"/>
    </row>
    <row r="36" spans="2:5" ht="12.75">
      <c r="B36" s="7"/>
      <c r="E36" s="7"/>
    </row>
    <row r="37" spans="2:5" ht="12.75">
      <c r="B37" s="7"/>
      <c r="E37" s="7"/>
    </row>
    <row r="39" spans="2:5" ht="13.5">
      <c r="B39" s="9"/>
      <c r="E39"/>
    </row>
    <row r="40" spans="2:5" ht="12.75">
      <c r="B40" s="7"/>
      <c r="E40" s="7"/>
    </row>
    <row r="41" spans="2:5" ht="12.75">
      <c r="B41" s="7"/>
      <c r="E41" s="7"/>
    </row>
    <row r="42" spans="2:5" ht="12.75">
      <c r="B42" s="7"/>
      <c r="E42" s="7"/>
    </row>
    <row r="49" spans="3:4" ht="12.75">
      <c r="C49" s="13"/>
      <c r="D49" s="14"/>
    </row>
    <row r="56" ht="12.75"/>
    <row r="59" spans="3:5" ht="12.75">
      <c r="C59"/>
      <c r="D59"/>
      <c r="E59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5">
      <selection activeCell="M35" sqref="M35"/>
    </sheetView>
  </sheetViews>
  <sheetFormatPr defaultColWidth="9.140625" defaultRowHeight="12.75"/>
  <cols>
    <col min="1" max="1" width="2.57421875" style="0" customWidth="1"/>
    <col min="2" max="2" width="6.140625" style="0" customWidth="1"/>
    <col min="3" max="3" width="9.7109375" style="0" customWidth="1"/>
    <col min="4" max="6" width="8.71093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2:9" ht="14.25" customHeight="1">
      <c r="B1" s="105"/>
      <c r="C1" s="105"/>
      <c r="D1" s="105"/>
      <c r="E1" s="105"/>
      <c r="F1" s="105"/>
      <c r="G1" s="105"/>
      <c r="H1" s="106"/>
      <c r="I1" s="99" t="s">
        <v>80</v>
      </c>
    </row>
    <row r="2" spans="2:9" s="24" customFormat="1" ht="30" customHeight="1">
      <c r="B2" s="438" t="s">
        <v>81</v>
      </c>
      <c r="C2" s="438"/>
      <c r="D2" s="438"/>
      <c r="E2" s="438"/>
      <c r="F2" s="438"/>
      <c r="G2" s="438"/>
      <c r="H2" s="438"/>
      <c r="I2" s="438"/>
    </row>
    <row r="3" spans="2:9" ht="15" customHeight="1">
      <c r="B3" s="439" t="s">
        <v>82</v>
      </c>
      <c r="C3" s="439"/>
      <c r="D3" s="439"/>
      <c r="E3" s="439"/>
      <c r="F3" s="439"/>
      <c r="G3" s="439"/>
      <c r="H3" s="439"/>
      <c r="I3" s="439"/>
    </row>
    <row r="4" spans="2:9" ht="12" customHeight="1">
      <c r="B4" s="440" t="s">
        <v>7</v>
      </c>
      <c r="C4" s="440"/>
      <c r="D4" s="440"/>
      <c r="E4" s="440"/>
      <c r="F4" s="440"/>
      <c r="G4" s="440"/>
      <c r="H4" s="440"/>
      <c r="I4" s="440"/>
    </row>
    <row r="5" spans="2:9" ht="12.75" customHeight="1">
      <c r="B5" s="42"/>
      <c r="C5" s="419" t="s">
        <v>83</v>
      </c>
      <c r="D5" s="419" t="s">
        <v>84</v>
      </c>
      <c r="E5" s="441" t="s">
        <v>85</v>
      </c>
      <c r="F5" s="441" t="s">
        <v>86</v>
      </c>
      <c r="G5" s="419" t="s">
        <v>87</v>
      </c>
      <c r="H5" s="441" t="s">
        <v>62</v>
      </c>
      <c r="I5" s="441" t="s">
        <v>63</v>
      </c>
    </row>
    <row r="6" spans="2:9" ht="22.5" customHeight="1">
      <c r="B6" s="42"/>
      <c r="C6" s="420"/>
      <c r="D6" s="420"/>
      <c r="E6" s="442"/>
      <c r="F6" s="442"/>
      <c r="G6" s="420"/>
      <c r="H6" s="442"/>
      <c r="I6" s="442"/>
    </row>
    <row r="7" spans="2:9" ht="15" customHeight="1">
      <c r="B7" s="313">
        <v>1990</v>
      </c>
      <c r="C7" s="314">
        <f>3671.543+1608.947</f>
        <v>5280.49</v>
      </c>
      <c r="D7" s="315">
        <v>19.995</v>
      </c>
      <c r="E7" s="315">
        <f>18.467+9.748</f>
        <v>28.214999999999996</v>
      </c>
      <c r="F7" s="315">
        <f>195.371+0.311</f>
        <v>195.68200000000002</v>
      </c>
      <c r="G7" s="315">
        <f>0.919+11.397</f>
        <v>12.316</v>
      </c>
      <c r="H7" s="316">
        <v>556.629</v>
      </c>
      <c r="I7" s="317">
        <f aca="true" t="shared" si="0" ref="I7:I21">SUM(C7:H7)</f>
        <v>6093.326999999999</v>
      </c>
    </row>
    <row r="8" spans="2:9" ht="12.75" customHeight="1">
      <c r="B8" s="109">
        <v>1995</v>
      </c>
      <c r="C8" s="151">
        <f>3680.388+2021.571</f>
        <v>5701.959</v>
      </c>
      <c r="D8" s="153">
        <v>17.344</v>
      </c>
      <c r="E8" s="153">
        <f>16.993+8.924</f>
        <v>25.916999999999998</v>
      </c>
      <c r="F8" s="153">
        <f>219.038+0.301</f>
        <v>219.339</v>
      </c>
      <c r="G8" s="153">
        <f>1.384+13.267</f>
        <v>14.651</v>
      </c>
      <c r="H8" s="154">
        <v>649.995</v>
      </c>
      <c r="I8" s="149">
        <f t="shared" si="0"/>
        <v>6629.205</v>
      </c>
    </row>
    <row r="9" spans="2:9" ht="12.75" customHeight="1">
      <c r="B9" s="109">
        <v>1996</v>
      </c>
      <c r="C9" s="151">
        <f>3761.146+2089.41</f>
        <v>5850.5560000000005</v>
      </c>
      <c r="D9" s="153">
        <v>17.561</v>
      </c>
      <c r="E9" s="153">
        <f>18.556+8.127</f>
        <v>26.683</v>
      </c>
      <c r="F9" s="153">
        <f>223.918+0.296</f>
        <v>224.214</v>
      </c>
      <c r="G9" s="153">
        <f>1.54+13.44</f>
        <v>14.98</v>
      </c>
      <c r="H9" s="154">
        <v>699.505</v>
      </c>
      <c r="I9" s="149">
        <f t="shared" si="0"/>
        <v>6833.499</v>
      </c>
    </row>
    <row r="10" spans="2:9" ht="12.75" customHeight="1">
      <c r="B10" s="109">
        <v>1997</v>
      </c>
      <c r="C10" s="151">
        <f>3844.827+2176.919</f>
        <v>6021.746</v>
      </c>
      <c r="D10" s="153">
        <v>17.846</v>
      </c>
      <c r="E10" s="153">
        <f>19.402+8.314</f>
        <v>27.716</v>
      </c>
      <c r="F10" s="153">
        <f>233.451+0.304</f>
        <v>233.755</v>
      </c>
      <c r="G10" s="153">
        <f>1.666+12.936</f>
        <v>14.602</v>
      </c>
      <c r="H10" s="154">
        <v>725.19</v>
      </c>
      <c r="I10" s="149">
        <f t="shared" si="0"/>
        <v>7040.855</v>
      </c>
    </row>
    <row r="11" spans="2:9" ht="12.75" customHeight="1">
      <c r="B11" s="109">
        <v>1998</v>
      </c>
      <c r="C11" s="151">
        <f>3965.147+2221.791</f>
        <v>6186.938</v>
      </c>
      <c r="D11" s="153">
        <v>18.203</v>
      </c>
      <c r="E11" s="153">
        <f>19.77+8.536</f>
        <v>28.305999999999997</v>
      </c>
      <c r="F11" s="153">
        <f>239.081+0.292</f>
        <v>239.373</v>
      </c>
      <c r="G11" s="153">
        <f>1.815+14.008</f>
        <v>15.822999999999999</v>
      </c>
      <c r="H11" s="154">
        <v>745.548</v>
      </c>
      <c r="I11" s="149">
        <f t="shared" si="0"/>
        <v>7234.191</v>
      </c>
    </row>
    <row r="12" spans="2:9" ht="12.75" customHeight="1">
      <c r="B12" s="110">
        <v>1999</v>
      </c>
      <c r="C12" s="151">
        <f>4015.104+2305.586</f>
        <v>6320.69</v>
      </c>
      <c r="D12" s="153">
        <v>18.736</v>
      </c>
      <c r="E12" s="153">
        <f>20.764+8.578</f>
        <v>29.342</v>
      </c>
      <c r="F12" s="153">
        <f>261.43+0.3</f>
        <v>261.73</v>
      </c>
      <c r="G12" s="153">
        <f>1.941+14.108</f>
        <v>16.049</v>
      </c>
      <c r="H12" s="154">
        <v>785.934</v>
      </c>
      <c r="I12" s="149">
        <f t="shared" si="0"/>
        <v>7432.481</v>
      </c>
    </row>
    <row r="13" spans="2:9" ht="12.75" customHeight="1">
      <c r="B13" s="110">
        <v>2000</v>
      </c>
      <c r="C13" s="151">
        <f>4094.907+2361.976</f>
        <v>6456.883</v>
      </c>
      <c r="D13" s="153">
        <v>18.533</v>
      </c>
      <c r="E13" s="153">
        <f>22.279+8.848</f>
        <v>31.127000000000002</v>
      </c>
      <c r="F13" s="153">
        <f>258.974+0.309</f>
        <v>259.283</v>
      </c>
      <c r="G13" s="153">
        <f>2.156+15.128</f>
        <v>17.284</v>
      </c>
      <c r="H13" s="154">
        <v>855.091</v>
      </c>
      <c r="I13" s="149">
        <f t="shared" si="0"/>
        <v>7638.201000000001</v>
      </c>
    </row>
    <row r="14" spans="2:9" ht="12.75" customHeight="1">
      <c r="B14" s="110">
        <v>2001</v>
      </c>
      <c r="C14" s="151">
        <f>4114.257+2701.852</f>
        <v>6816.1089999999995</v>
      </c>
      <c r="D14" s="153">
        <v>18.926</v>
      </c>
      <c r="E14" s="153">
        <f>22.817+8.946</f>
        <v>31.762999999999998</v>
      </c>
      <c r="F14" s="153">
        <f>241.469+0.301</f>
        <v>241.76999999999998</v>
      </c>
      <c r="G14" s="153">
        <f>2.297+15.359</f>
        <v>17.656</v>
      </c>
      <c r="H14" s="156">
        <v>808.544</v>
      </c>
      <c r="I14" s="149">
        <f t="shared" si="0"/>
        <v>7934.767999999999</v>
      </c>
    </row>
    <row r="15" spans="2:9" ht="12.75" customHeight="1">
      <c r="B15" s="110">
        <v>2002</v>
      </c>
      <c r="C15" s="151">
        <f>4217.107+2695.316</f>
        <v>6912.423</v>
      </c>
      <c r="D15" s="153">
        <v>19.523</v>
      </c>
      <c r="E15" s="153">
        <f>21.989+8.8</f>
        <v>30.789</v>
      </c>
      <c r="F15" s="153">
        <f>233.554+0.302</f>
        <v>233.856</v>
      </c>
      <c r="G15" s="153">
        <f>2.304+15.288</f>
        <v>17.592</v>
      </c>
      <c r="H15" s="154">
        <v>777.971</v>
      </c>
      <c r="I15" s="149">
        <f t="shared" si="0"/>
        <v>7992.153999999999</v>
      </c>
    </row>
    <row r="16" spans="2:9" ht="12.75" customHeight="1">
      <c r="B16" s="110">
        <v>2003</v>
      </c>
      <c r="C16" s="151">
        <f>4251.702+2745.707</f>
        <v>6997.409</v>
      </c>
      <c r="D16" s="153">
        <v>19.574</v>
      </c>
      <c r="E16" s="153">
        <f>21.897+9.141</f>
        <v>31.037999999999997</v>
      </c>
      <c r="F16" s="153">
        <f>231.425+0.283</f>
        <v>231.708</v>
      </c>
      <c r="G16" s="153">
        <f>2.375+15.378</f>
        <v>17.753</v>
      </c>
      <c r="H16" s="154">
        <v>813.082</v>
      </c>
      <c r="I16" s="149">
        <f t="shared" si="0"/>
        <v>8110.5639999999985</v>
      </c>
    </row>
    <row r="17" spans="2:9" ht="12.75" customHeight="1">
      <c r="B17" s="110">
        <v>2004</v>
      </c>
      <c r="C17" s="151">
        <f>4322.42+2865.873</f>
        <v>7188.293</v>
      </c>
      <c r="D17" s="153">
        <v>20.688</v>
      </c>
      <c r="E17" s="153">
        <f>23.101+8.869</f>
        <v>31.97</v>
      </c>
      <c r="F17" s="153">
        <f>232.048+0.279</f>
        <v>232.327</v>
      </c>
      <c r="G17" s="153">
        <f>2.537+15.635</f>
        <v>18.172</v>
      </c>
      <c r="H17" s="154">
        <v>897.84</v>
      </c>
      <c r="I17" s="149">
        <f t="shared" si="0"/>
        <v>8389.289999999999</v>
      </c>
    </row>
    <row r="18" spans="2:9" ht="12.75" customHeight="1">
      <c r="B18" s="110">
        <v>2005</v>
      </c>
      <c r="C18" s="151">
        <f>4344.11+2904.621</f>
        <v>7248.731</v>
      </c>
      <c r="D18" s="153">
        <v>21.367</v>
      </c>
      <c r="E18" s="153">
        <f>23.203+8.66</f>
        <v>31.863</v>
      </c>
      <c r="F18" s="153">
        <f>238.17+0.278</f>
        <v>238.44799999999998</v>
      </c>
      <c r="G18" s="153">
        <f>2.735+15.241</f>
        <v>17.976</v>
      </c>
      <c r="H18" s="154">
        <v>939.467</v>
      </c>
      <c r="I18" s="149">
        <f t="shared" si="0"/>
        <v>8497.852</v>
      </c>
    </row>
    <row r="19" spans="2:9" ht="12.75" customHeight="1">
      <c r="B19" s="110">
        <v>2006</v>
      </c>
      <c r="C19" s="151">
        <f>4298.629+3020.24</f>
        <v>7318.869</v>
      </c>
      <c r="D19" s="153">
        <v>24.628</v>
      </c>
      <c r="E19" s="153">
        <f>23.692+8.706</f>
        <v>32.397999999999996</v>
      </c>
      <c r="F19" s="153">
        <f>231.449+0.264</f>
        <v>231.71300000000002</v>
      </c>
      <c r="G19" s="153">
        <f>3.003+16.671</f>
        <v>19.674</v>
      </c>
      <c r="H19" s="154">
        <v>947.026</v>
      </c>
      <c r="I19" s="149">
        <f t="shared" si="0"/>
        <v>8574.307999999999</v>
      </c>
    </row>
    <row r="20" spans="2:9" ht="12.75" customHeight="1">
      <c r="B20" s="110">
        <v>2007</v>
      </c>
      <c r="C20" s="151">
        <f>4252.689+3103.329</f>
        <v>7356.018</v>
      </c>
      <c r="D20" s="153">
        <v>27.839</v>
      </c>
      <c r="E20" s="153">
        <f>25.972+9.309</f>
        <v>35.281</v>
      </c>
      <c r="F20" s="153">
        <f>238.158+0.25</f>
        <v>238.408</v>
      </c>
      <c r="G20" s="153">
        <f>3.107+17.923</f>
        <v>21.029999999999998</v>
      </c>
      <c r="H20" s="154">
        <v>977.75</v>
      </c>
      <c r="I20" s="149">
        <f t="shared" si="0"/>
        <v>8656.326000000001</v>
      </c>
    </row>
    <row r="21" spans="2:9" ht="12.75" customHeight="1">
      <c r="B21" s="111">
        <v>2008</v>
      </c>
      <c r="C21" s="152">
        <f>4108.725+3093.096</f>
        <v>7201.821</v>
      </c>
      <c r="D21" s="155">
        <v>29.603</v>
      </c>
      <c r="E21" s="155">
        <f>27.117+9.943</f>
        <v>37.06</v>
      </c>
      <c r="F21" s="155">
        <f>242.732+0.259</f>
        <v>242.99099999999999</v>
      </c>
      <c r="G21" s="155">
        <f>3.349+17.754</f>
        <v>21.103</v>
      </c>
      <c r="H21" s="156">
        <v>939.061</v>
      </c>
      <c r="I21" s="150">
        <f t="shared" si="0"/>
        <v>8471.639000000001</v>
      </c>
    </row>
    <row r="22" spans="2:9" ht="15" customHeight="1">
      <c r="B22" s="54" t="s">
        <v>111</v>
      </c>
      <c r="C22" s="112"/>
      <c r="D22" s="112"/>
      <c r="E22" s="112"/>
      <c r="F22" s="112"/>
      <c r="G22" s="113"/>
      <c r="H22" s="113"/>
      <c r="I22" s="113"/>
    </row>
    <row r="23" spans="2:9" ht="12.75" customHeight="1">
      <c r="B23" s="443" t="s">
        <v>65</v>
      </c>
      <c r="C23" s="443"/>
      <c r="D23" s="114"/>
      <c r="E23" s="12"/>
      <c r="F23" s="12"/>
      <c r="G23" s="12"/>
      <c r="H23" s="12"/>
      <c r="I23" s="12"/>
    </row>
    <row r="24" spans="2:9" ht="12.75" customHeight="1">
      <c r="B24" s="444" t="s">
        <v>131</v>
      </c>
      <c r="C24" s="444"/>
      <c r="D24" s="444"/>
      <c r="E24" s="444"/>
      <c r="F24" s="444"/>
      <c r="G24" s="444"/>
      <c r="H24" s="444"/>
      <c r="I24" s="444"/>
    </row>
    <row r="25" spans="2:9" ht="12.75" customHeight="1">
      <c r="B25" s="445" t="s">
        <v>133</v>
      </c>
      <c r="C25" s="444"/>
      <c r="D25" s="444"/>
      <c r="E25" s="444"/>
      <c r="F25" s="444"/>
      <c r="G25" s="444"/>
      <c r="H25" s="444"/>
      <c r="I25" s="444"/>
    </row>
    <row r="26" spans="2:9" ht="15" customHeight="1">
      <c r="B26" s="115"/>
      <c r="C26" s="113"/>
      <c r="D26" s="113"/>
      <c r="E26" s="116"/>
      <c r="F26" s="116"/>
      <c r="G26" s="116"/>
      <c r="H26" s="116"/>
      <c r="I26" s="116"/>
    </row>
    <row r="27" spans="2:9" ht="15" customHeight="1">
      <c r="B27" s="446" t="s">
        <v>88</v>
      </c>
      <c r="C27" s="446"/>
      <c r="D27" s="446"/>
      <c r="E27" s="446"/>
      <c r="F27" s="446"/>
      <c r="G27" s="446"/>
      <c r="H27" s="446"/>
      <c r="I27" s="446"/>
    </row>
    <row r="28" spans="2:9" ht="12" customHeight="1">
      <c r="B28" s="447" t="s">
        <v>89</v>
      </c>
      <c r="C28" s="447"/>
      <c r="D28" s="447"/>
      <c r="E28" s="447"/>
      <c r="F28" s="447"/>
      <c r="G28" s="447"/>
      <c r="H28" s="447"/>
      <c r="I28" s="447"/>
    </row>
    <row r="29" spans="2:9" ht="12.75" customHeight="1">
      <c r="B29" s="42"/>
      <c r="C29" s="419" t="s">
        <v>83</v>
      </c>
      <c r="D29" s="419" t="s">
        <v>84</v>
      </c>
      <c r="E29" s="441" t="s">
        <v>85</v>
      </c>
      <c r="F29" s="441" t="s">
        <v>86</v>
      </c>
      <c r="G29" s="419" t="s">
        <v>87</v>
      </c>
      <c r="H29" s="441" t="s">
        <v>62</v>
      </c>
      <c r="I29" s="441" t="s">
        <v>63</v>
      </c>
    </row>
    <row r="30" spans="2:9" ht="23.25" customHeight="1">
      <c r="B30" s="42"/>
      <c r="C30" s="420"/>
      <c r="D30" s="420"/>
      <c r="E30" s="442"/>
      <c r="F30" s="442"/>
      <c r="G30" s="420"/>
      <c r="H30" s="442"/>
      <c r="I30" s="442"/>
    </row>
    <row r="31" spans="2:9" ht="9.75" customHeight="1">
      <c r="B31" s="107">
        <v>2000</v>
      </c>
      <c r="C31" s="100">
        <f aca="true" t="shared" si="1" ref="C31:I39">100*(C13/C12-1)</f>
        <v>2.154717285612806</v>
      </c>
      <c r="D31" s="101">
        <f t="shared" si="1"/>
        <v>-1.0834756618274932</v>
      </c>
      <c r="E31" s="101">
        <f t="shared" si="1"/>
        <v>6.083429895712644</v>
      </c>
      <c r="F31" s="101">
        <f t="shared" si="1"/>
        <v>-0.9349329461659006</v>
      </c>
      <c r="G31" s="101">
        <f t="shared" si="1"/>
        <v>7.695183500529623</v>
      </c>
      <c r="H31" s="102">
        <f t="shared" si="1"/>
        <v>8.799339384732052</v>
      </c>
      <c r="I31" s="103">
        <f t="shared" si="1"/>
        <v>2.767851004260913</v>
      </c>
    </row>
    <row r="32" spans="2:9" ht="9.75" customHeight="1">
      <c r="B32" s="109">
        <v>2001</v>
      </c>
      <c r="C32" s="100">
        <f t="shared" si="1"/>
        <v>5.563458405549548</v>
      </c>
      <c r="D32" s="101">
        <f t="shared" si="1"/>
        <v>2.120541736362158</v>
      </c>
      <c r="E32" s="101">
        <f t="shared" si="1"/>
        <v>2.0432422013043183</v>
      </c>
      <c r="F32" s="101">
        <f t="shared" si="1"/>
        <v>-6.754395776043953</v>
      </c>
      <c r="G32" s="101">
        <f t="shared" si="1"/>
        <v>2.152279564915527</v>
      </c>
      <c r="H32" s="102">
        <f t="shared" si="1"/>
        <v>-5.443514199073551</v>
      </c>
      <c r="I32" s="103">
        <f t="shared" si="1"/>
        <v>3.8826812753421702</v>
      </c>
    </row>
    <row r="33" spans="2:9" ht="9.75" customHeight="1">
      <c r="B33" s="109">
        <v>2002</v>
      </c>
      <c r="C33" s="100">
        <f t="shared" si="1"/>
        <v>1.4130349147879029</v>
      </c>
      <c r="D33" s="101">
        <f t="shared" si="1"/>
        <v>3.1543907851632635</v>
      </c>
      <c r="E33" s="101">
        <f t="shared" si="1"/>
        <v>-3.0664609766079876</v>
      </c>
      <c r="F33" s="101">
        <f t="shared" si="1"/>
        <v>-3.27335897754063</v>
      </c>
      <c r="G33" s="101">
        <f t="shared" si="1"/>
        <v>-0.3624830086089714</v>
      </c>
      <c r="H33" s="398">
        <f t="shared" si="1"/>
        <v>-3.7812413424624935</v>
      </c>
      <c r="I33" s="103">
        <f t="shared" si="1"/>
        <v>0.7232221534391403</v>
      </c>
    </row>
    <row r="34" spans="2:9" ht="9.75" customHeight="1">
      <c r="B34" s="109">
        <v>2003</v>
      </c>
      <c r="C34" s="100">
        <f t="shared" si="1"/>
        <v>1.229467583219379</v>
      </c>
      <c r="D34" s="101">
        <f t="shared" si="1"/>
        <v>0.261230343697183</v>
      </c>
      <c r="E34" s="101">
        <f t="shared" si="1"/>
        <v>0.8087303907239551</v>
      </c>
      <c r="F34" s="101">
        <f t="shared" si="1"/>
        <v>-0.9185139573070544</v>
      </c>
      <c r="G34" s="101">
        <f t="shared" si="1"/>
        <v>0.9151887221464428</v>
      </c>
      <c r="H34" s="102">
        <f t="shared" si="1"/>
        <v>4.513150233106367</v>
      </c>
      <c r="I34" s="103">
        <f t="shared" si="1"/>
        <v>1.4815780576800774</v>
      </c>
    </row>
    <row r="35" spans="2:9" ht="9.75" customHeight="1">
      <c r="B35" s="109">
        <v>2004</v>
      </c>
      <c r="C35" s="100">
        <f t="shared" si="1"/>
        <v>2.7279240073004196</v>
      </c>
      <c r="D35" s="101">
        <f t="shared" si="1"/>
        <v>5.691223050985994</v>
      </c>
      <c r="E35" s="101">
        <f t="shared" si="1"/>
        <v>3.0027707970874395</v>
      </c>
      <c r="F35" s="101">
        <f t="shared" si="1"/>
        <v>0.2671465810416551</v>
      </c>
      <c r="G35" s="101">
        <f t="shared" si="1"/>
        <v>2.3601644792429433</v>
      </c>
      <c r="H35" s="102">
        <f t="shared" si="1"/>
        <v>10.424286849296882</v>
      </c>
      <c r="I35" s="103">
        <f t="shared" si="1"/>
        <v>3.436579749571056</v>
      </c>
    </row>
    <row r="36" spans="2:9" ht="9.75" customHeight="1">
      <c r="B36" s="109">
        <v>2005</v>
      </c>
      <c r="C36" s="100">
        <f t="shared" si="1"/>
        <v>0.8407837577015798</v>
      </c>
      <c r="D36" s="101">
        <f t="shared" si="1"/>
        <v>3.282095901005433</v>
      </c>
      <c r="E36" s="101">
        <f t="shared" si="1"/>
        <v>-0.33468877072254655</v>
      </c>
      <c r="F36" s="101">
        <f t="shared" si="1"/>
        <v>2.6346485772208883</v>
      </c>
      <c r="G36" s="101">
        <f t="shared" si="1"/>
        <v>-1.078582434514641</v>
      </c>
      <c r="H36" s="102">
        <f t="shared" si="1"/>
        <v>4.636349460928435</v>
      </c>
      <c r="I36" s="103">
        <f t="shared" si="1"/>
        <v>1.2940546816238463</v>
      </c>
    </row>
    <row r="37" spans="1:9" ht="9.75" customHeight="1">
      <c r="A37" s="117"/>
      <c r="B37" s="109">
        <v>2006</v>
      </c>
      <c r="C37" s="100">
        <f t="shared" si="1"/>
        <v>0.9675900512793101</v>
      </c>
      <c r="D37" s="101">
        <f t="shared" si="1"/>
        <v>15.261852389198282</v>
      </c>
      <c r="E37" s="101">
        <f t="shared" si="1"/>
        <v>1.6790634905689883</v>
      </c>
      <c r="F37" s="101">
        <f t="shared" si="1"/>
        <v>-2.824515198282207</v>
      </c>
      <c r="G37" s="101">
        <f t="shared" si="1"/>
        <v>9.445927903871842</v>
      </c>
      <c r="H37" s="102">
        <f t="shared" si="1"/>
        <v>0.8046051644176933</v>
      </c>
      <c r="I37" s="103">
        <f t="shared" si="1"/>
        <v>0.899709714878516</v>
      </c>
    </row>
    <row r="38" spans="1:9" ht="9.75" customHeight="1">
      <c r="A38" s="117"/>
      <c r="B38" s="109">
        <v>2007</v>
      </c>
      <c r="C38" s="100">
        <f t="shared" si="1"/>
        <v>0.5075784250271553</v>
      </c>
      <c r="D38" s="101">
        <f t="shared" si="1"/>
        <v>13.038005522169872</v>
      </c>
      <c r="E38" s="101">
        <f t="shared" si="1"/>
        <v>8.898697450459924</v>
      </c>
      <c r="F38" s="101">
        <f t="shared" si="1"/>
        <v>2.8893501875164374</v>
      </c>
      <c r="G38" s="101">
        <f t="shared" si="1"/>
        <v>6.892345227203411</v>
      </c>
      <c r="H38" s="102">
        <f t="shared" si="1"/>
        <v>3.244261509187707</v>
      </c>
      <c r="I38" s="103">
        <f t="shared" si="1"/>
        <v>0.9565553278468863</v>
      </c>
    </row>
    <row r="39" spans="1:9" ht="9.75" customHeight="1">
      <c r="A39" s="117"/>
      <c r="B39" s="120">
        <v>2008</v>
      </c>
      <c r="C39" s="100">
        <f t="shared" si="1"/>
        <v>-2.0962020484452393</v>
      </c>
      <c r="D39" s="101">
        <f t="shared" si="1"/>
        <v>6.336434498365606</v>
      </c>
      <c r="E39" s="101">
        <f t="shared" si="1"/>
        <v>5.042374082367296</v>
      </c>
      <c r="F39" s="101">
        <f t="shared" si="1"/>
        <v>1.9223348209791657</v>
      </c>
      <c r="G39" s="101">
        <f t="shared" si="1"/>
        <v>0.3471231573942246</v>
      </c>
      <c r="H39" s="102">
        <f t="shared" si="1"/>
        <v>-3.956941958578364</v>
      </c>
      <c r="I39" s="103">
        <f t="shared" si="1"/>
        <v>-2.1335494989444648</v>
      </c>
    </row>
    <row r="40" spans="1:9" ht="19.5" customHeight="1">
      <c r="A40" s="117"/>
      <c r="B40" s="325" t="s">
        <v>91</v>
      </c>
      <c r="C40" s="326">
        <f aca="true" t="shared" si="2" ref="C40:I40">100*(POWER((C8/C7),1/5)-1)</f>
        <v>1.5476723660431846</v>
      </c>
      <c r="D40" s="327">
        <f t="shared" si="2"/>
        <v>-2.8046313614381257</v>
      </c>
      <c r="E40" s="327">
        <f t="shared" si="2"/>
        <v>-1.6847393762911111</v>
      </c>
      <c r="F40" s="327">
        <f t="shared" si="2"/>
        <v>2.30880126163846</v>
      </c>
      <c r="G40" s="327">
        <f t="shared" si="2"/>
        <v>3.5331714521563695</v>
      </c>
      <c r="H40" s="328">
        <f t="shared" si="2"/>
        <v>3.149906197988339</v>
      </c>
      <c r="I40" s="329">
        <f t="shared" si="2"/>
        <v>1.7001030059540012</v>
      </c>
    </row>
    <row r="41" spans="1:9" ht="19.5" customHeight="1">
      <c r="A41" s="117"/>
      <c r="B41" s="118" t="s">
        <v>90</v>
      </c>
      <c r="C41" s="100">
        <f aca="true" t="shared" si="3" ref="C41:I41">100*(POWER((C13/C8),1/5)-1)</f>
        <v>2.517915093821954</v>
      </c>
      <c r="D41" s="101">
        <f t="shared" si="3"/>
        <v>1.334958080597315</v>
      </c>
      <c r="E41" s="101">
        <f t="shared" si="3"/>
        <v>3.73146402288691</v>
      </c>
      <c r="F41" s="101">
        <f t="shared" si="3"/>
        <v>3.4026423307693676</v>
      </c>
      <c r="G41" s="101">
        <f t="shared" si="3"/>
        <v>3.3606895234648215</v>
      </c>
      <c r="H41" s="102">
        <f t="shared" si="3"/>
        <v>5.638071417110169</v>
      </c>
      <c r="I41" s="103">
        <f t="shared" si="3"/>
        <v>2.8740710778194067</v>
      </c>
    </row>
    <row r="42" spans="1:9" ht="19.5" customHeight="1">
      <c r="A42" s="117"/>
      <c r="B42" s="321" t="s">
        <v>132</v>
      </c>
      <c r="C42" s="322">
        <f aca="true" t="shared" si="4" ref="C42:I42">100*(POWER((C21/C13),1/8)-1)</f>
        <v>1.3741966762630842</v>
      </c>
      <c r="D42" s="323">
        <f t="shared" si="4"/>
        <v>6.028776488898302</v>
      </c>
      <c r="E42" s="323">
        <f t="shared" si="4"/>
        <v>2.2047355065501373</v>
      </c>
      <c r="F42" s="323">
        <f t="shared" si="4"/>
        <v>-0.8079152251150079</v>
      </c>
      <c r="G42" s="323">
        <f t="shared" si="4"/>
        <v>2.526821245673072</v>
      </c>
      <c r="H42" s="323">
        <f t="shared" si="4"/>
        <v>1.177788745346775</v>
      </c>
      <c r="I42" s="324">
        <f t="shared" si="4"/>
        <v>1.3029388829970179</v>
      </c>
    </row>
    <row r="43" spans="2:9" ht="15" customHeight="1">
      <c r="B43" s="115"/>
      <c r="C43" s="4"/>
      <c r="D43" s="4"/>
      <c r="E43" s="4"/>
      <c r="F43" s="4"/>
      <c r="G43" s="4"/>
      <c r="H43" s="4"/>
      <c r="I43" s="4"/>
    </row>
    <row r="44" spans="2:9" ht="15" customHeight="1">
      <c r="B44" s="446" t="s">
        <v>67</v>
      </c>
      <c r="C44" s="446"/>
      <c r="D44" s="446"/>
      <c r="E44" s="446"/>
      <c r="F44" s="446"/>
      <c r="G44" s="446"/>
      <c r="H44" s="446"/>
      <c r="I44" s="446"/>
    </row>
    <row r="45" spans="2:9" ht="9.75" customHeight="1">
      <c r="B45" s="448" t="s">
        <v>46</v>
      </c>
      <c r="C45" s="448"/>
      <c r="D45" s="448"/>
      <c r="E45" s="448"/>
      <c r="F45" s="448"/>
      <c r="G45" s="448"/>
      <c r="H45" s="448"/>
      <c r="I45" s="448"/>
    </row>
    <row r="46" spans="2:9" ht="12.75" customHeight="1">
      <c r="B46" s="42"/>
      <c r="C46" s="419" t="s">
        <v>83</v>
      </c>
      <c r="D46" s="419" t="s">
        <v>84</v>
      </c>
      <c r="E46" s="441" t="s">
        <v>85</v>
      </c>
      <c r="F46" s="441" t="s">
        <v>86</v>
      </c>
      <c r="G46" s="419" t="s">
        <v>87</v>
      </c>
      <c r="H46" s="441" t="s">
        <v>62</v>
      </c>
      <c r="I46" s="449"/>
    </row>
    <row r="47" spans="2:9" ht="23.25" customHeight="1">
      <c r="B47" s="42"/>
      <c r="C47" s="420"/>
      <c r="D47" s="420"/>
      <c r="E47" s="442"/>
      <c r="F47" s="442"/>
      <c r="G47" s="420"/>
      <c r="H47" s="442"/>
      <c r="I47" s="449"/>
    </row>
    <row r="48" spans="2:9" ht="9.75" customHeight="1">
      <c r="B48" s="313">
        <v>1990</v>
      </c>
      <c r="C48" s="318">
        <f aca="true" t="shared" si="5" ref="C48:H62">100*(C7/$I7)</f>
        <v>86.6602104236323</v>
      </c>
      <c r="D48" s="319">
        <f t="shared" si="5"/>
        <v>0.32814585529383217</v>
      </c>
      <c r="E48" s="319">
        <f t="shared" si="5"/>
        <v>0.463047527237583</v>
      </c>
      <c r="F48" s="319">
        <f t="shared" si="5"/>
        <v>3.211414716459498</v>
      </c>
      <c r="G48" s="319">
        <f t="shared" si="5"/>
        <v>0.2021227483770361</v>
      </c>
      <c r="H48" s="320">
        <f t="shared" si="5"/>
        <v>9.135058728999775</v>
      </c>
      <c r="I48" s="108"/>
    </row>
    <row r="49" spans="2:9" ht="9.75" customHeight="1">
      <c r="B49" s="109">
        <v>1995</v>
      </c>
      <c r="C49" s="157">
        <f t="shared" si="5"/>
        <v>86.0127119315212</v>
      </c>
      <c r="D49" s="158">
        <f t="shared" si="5"/>
        <v>0.26163016530639804</v>
      </c>
      <c r="E49" s="158">
        <f t="shared" si="5"/>
        <v>0.3909518562180533</v>
      </c>
      <c r="F49" s="158">
        <f t="shared" si="5"/>
        <v>3.3086772848327963</v>
      </c>
      <c r="G49" s="158">
        <f t="shared" si="5"/>
        <v>0.22100689298339699</v>
      </c>
      <c r="H49" s="159">
        <f t="shared" si="5"/>
        <v>9.805021869138155</v>
      </c>
      <c r="I49" s="108"/>
    </row>
    <row r="50" spans="2:9" ht="9.75" customHeight="1">
      <c r="B50" s="109">
        <v>1996</v>
      </c>
      <c r="C50" s="157">
        <f t="shared" si="5"/>
        <v>85.61581702141173</v>
      </c>
      <c r="D50" s="158">
        <f t="shared" si="5"/>
        <v>0.2569840136070848</v>
      </c>
      <c r="E50" s="158">
        <f t="shared" si="5"/>
        <v>0.3904734602287935</v>
      </c>
      <c r="F50" s="158">
        <f t="shared" si="5"/>
        <v>3.281100941113769</v>
      </c>
      <c r="G50" s="158">
        <f t="shared" si="5"/>
        <v>0.21921419758750238</v>
      </c>
      <c r="H50" s="159">
        <f t="shared" si="5"/>
        <v>10.236410366051125</v>
      </c>
      <c r="I50" s="108"/>
    </row>
    <row r="51" spans="2:9" ht="9.75" customHeight="1">
      <c r="B51" s="109">
        <v>1997</v>
      </c>
      <c r="C51" s="157">
        <f t="shared" si="5"/>
        <v>85.5257777642062</v>
      </c>
      <c r="D51" s="158">
        <f t="shared" si="5"/>
        <v>0.25346353532347987</v>
      </c>
      <c r="E51" s="158">
        <f t="shared" si="5"/>
        <v>0.3936453740348296</v>
      </c>
      <c r="F51" s="158">
        <f t="shared" si="5"/>
        <v>3.3199803148907345</v>
      </c>
      <c r="G51" s="158">
        <f t="shared" si="5"/>
        <v>0.20738958549778402</v>
      </c>
      <c r="H51" s="159">
        <f t="shared" si="5"/>
        <v>10.29974342604698</v>
      </c>
      <c r="I51" s="108"/>
    </row>
    <row r="52" spans="2:8" ht="9.75" customHeight="1">
      <c r="B52" s="109">
        <v>1998</v>
      </c>
      <c r="C52" s="157">
        <f t="shared" si="5"/>
        <v>85.52356441791488</v>
      </c>
      <c r="D52" s="158">
        <f t="shared" si="5"/>
        <v>0.2516245423987285</v>
      </c>
      <c r="E52" s="158">
        <f t="shared" si="5"/>
        <v>0.3912807942173492</v>
      </c>
      <c r="F52" s="158">
        <f t="shared" si="5"/>
        <v>3.3089118050656943</v>
      </c>
      <c r="G52" s="158">
        <f t="shared" si="5"/>
        <v>0.21872521751222768</v>
      </c>
      <c r="H52" s="159">
        <f t="shared" si="5"/>
        <v>10.30589322289113</v>
      </c>
    </row>
    <row r="53" spans="2:8" ht="9.75" customHeight="1">
      <c r="B53" s="110">
        <v>1999</v>
      </c>
      <c r="C53" s="157">
        <f t="shared" si="5"/>
        <v>85.04145520183637</v>
      </c>
      <c r="D53" s="158">
        <f t="shared" si="5"/>
        <v>0.2520827163903951</v>
      </c>
      <c r="E53" s="158">
        <f t="shared" si="5"/>
        <v>0.3947806930148896</v>
      </c>
      <c r="F53" s="158">
        <f t="shared" si="5"/>
        <v>3.5214351708399936</v>
      </c>
      <c r="G53" s="158">
        <f t="shared" si="5"/>
        <v>0.2159305889917512</v>
      </c>
      <c r="H53" s="159">
        <f t="shared" si="5"/>
        <v>10.574315628926598</v>
      </c>
    </row>
    <row r="54" spans="2:9" ht="9.75" customHeight="1">
      <c r="B54" s="109">
        <v>2000</v>
      </c>
      <c r="C54" s="157">
        <f t="shared" si="5"/>
        <v>84.53408073445566</v>
      </c>
      <c r="D54" s="158">
        <f t="shared" si="5"/>
        <v>0.24263566774427645</v>
      </c>
      <c r="E54" s="158">
        <f t="shared" si="5"/>
        <v>0.4075174245872817</v>
      </c>
      <c r="F54" s="158">
        <f t="shared" si="5"/>
        <v>3.394555864659754</v>
      </c>
      <c r="G54" s="158">
        <f t="shared" si="5"/>
        <v>0.22628364977564738</v>
      </c>
      <c r="H54" s="159">
        <f t="shared" si="5"/>
        <v>11.194926658777375</v>
      </c>
      <c r="I54" s="1"/>
    </row>
    <row r="55" spans="2:9" ht="9.75" customHeight="1">
      <c r="B55" s="109">
        <v>2001</v>
      </c>
      <c r="C55" s="157">
        <f t="shared" si="5"/>
        <v>85.90180582469456</v>
      </c>
      <c r="D55" s="158">
        <f t="shared" si="5"/>
        <v>0.238519891192786</v>
      </c>
      <c r="E55" s="158">
        <f t="shared" si="5"/>
        <v>0.40030155891136326</v>
      </c>
      <c r="F55" s="158">
        <f t="shared" si="5"/>
        <v>3.0469699933255767</v>
      </c>
      <c r="G55" s="158">
        <f t="shared" si="5"/>
        <v>0.22251438227305448</v>
      </c>
      <c r="H55" s="162">
        <f t="shared" si="5"/>
        <v>10.189888349602661</v>
      </c>
      <c r="I55" s="119"/>
    </row>
    <row r="56" spans="2:9" ht="9.75" customHeight="1">
      <c r="B56" s="109">
        <v>2002</v>
      </c>
      <c r="C56" s="157">
        <f t="shared" si="5"/>
        <v>86.49011267800897</v>
      </c>
      <c r="D56" s="158">
        <f t="shared" si="5"/>
        <v>0.2442770747410523</v>
      </c>
      <c r="E56" s="158">
        <f t="shared" si="5"/>
        <v>0.38524032444820266</v>
      </c>
      <c r="F56" s="158">
        <f t="shared" si="5"/>
        <v>2.9260697429003497</v>
      </c>
      <c r="G56" s="158">
        <f t="shared" si="5"/>
        <v>0.22011587864798404</v>
      </c>
      <c r="H56" s="159">
        <f t="shared" si="5"/>
        <v>9.734184301253455</v>
      </c>
      <c r="I56" s="119"/>
    </row>
    <row r="57" spans="2:9" ht="9.75" customHeight="1">
      <c r="B57" s="109">
        <v>2003</v>
      </c>
      <c r="C57" s="157">
        <f t="shared" si="5"/>
        <v>86.27524546998212</v>
      </c>
      <c r="D57" s="158">
        <f t="shared" si="5"/>
        <v>0.241339566520898</v>
      </c>
      <c r="E57" s="158">
        <f t="shared" si="5"/>
        <v>0.3826860869355078</v>
      </c>
      <c r="F57" s="158">
        <f t="shared" si="5"/>
        <v>2.8568666741301842</v>
      </c>
      <c r="G57" s="158">
        <f t="shared" si="5"/>
        <v>0.2188873671424084</v>
      </c>
      <c r="H57" s="159">
        <f t="shared" si="5"/>
        <v>10.02497483528889</v>
      </c>
      <c r="I57" s="119"/>
    </row>
    <row r="58" spans="2:9" ht="9.75" customHeight="1">
      <c r="B58" s="109">
        <v>2004</v>
      </c>
      <c r="C58" s="157">
        <f t="shared" si="5"/>
        <v>85.68416397573574</v>
      </c>
      <c r="D58" s="158">
        <f t="shared" si="5"/>
        <v>0.24660012945076404</v>
      </c>
      <c r="E58" s="158">
        <f t="shared" si="5"/>
        <v>0.3810811165187996</v>
      </c>
      <c r="F58" s="158">
        <f t="shared" si="5"/>
        <v>2.769328512901569</v>
      </c>
      <c r="G58" s="158">
        <f t="shared" si="5"/>
        <v>0.2166095104591688</v>
      </c>
      <c r="H58" s="159">
        <f t="shared" si="5"/>
        <v>10.702216754933971</v>
      </c>
      <c r="I58" s="119"/>
    </row>
    <row r="59" spans="2:9" ht="9.75" customHeight="1">
      <c r="B59" s="109">
        <v>2005</v>
      </c>
      <c r="C59" s="157">
        <f t="shared" si="5"/>
        <v>85.3007442351314</v>
      </c>
      <c r="D59" s="158">
        <f t="shared" si="5"/>
        <v>0.2514400109580633</v>
      </c>
      <c r="E59" s="158">
        <f t="shared" si="5"/>
        <v>0.3749535765038035</v>
      </c>
      <c r="F59" s="158">
        <f t="shared" si="5"/>
        <v>2.8059796758051325</v>
      </c>
      <c r="G59" s="158">
        <f t="shared" si="5"/>
        <v>0.2115358092845109</v>
      </c>
      <c r="H59" s="159">
        <f t="shared" si="5"/>
        <v>11.05534669231707</v>
      </c>
      <c r="I59" s="119"/>
    </row>
    <row r="60" spans="2:9" ht="9.75" customHeight="1">
      <c r="B60" s="109">
        <v>2006</v>
      </c>
      <c r="C60" s="157">
        <f t="shared" si="5"/>
        <v>85.35813035874149</v>
      </c>
      <c r="D60" s="158">
        <f t="shared" si="5"/>
        <v>0.2872301764760492</v>
      </c>
      <c r="E60" s="158">
        <f t="shared" si="5"/>
        <v>0.37784973434590874</v>
      </c>
      <c r="F60" s="158">
        <f t="shared" si="5"/>
        <v>2.702410503564836</v>
      </c>
      <c r="G60" s="158">
        <f t="shared" si="5"/>
        <v>0.22945291911603832</v>
      </c>
      <c r="H60" s="159">
        <f t="shared" si="5"/>
        <v>11.04492630775568</v>
      </c>
      <c r="I60" s="119"/>
    </row>
    <row r="61" spans="2:9" ht="9.75" customHeight="1">
      <c r="B61" s="109">
        <v>2007</v>
      </c>
      <c r="C61" s="157">
        <f t="shared" si="5"/>
        <v>84.97852322105244</v>
      </c>
      <c r="D61" s="158">
        <f t="shared" si="5"/>
        <v>0.3216029525690229</v>
      </c>
      <c r="E61" s="158">
        <f t="shared" si="5"/>
        <v>0.4075747609320628</v>
      </c>
      <c r="F61" s="158">
        <f t="shared" si="5"/>
        <v>2.754147660335343</v>
      </c>
      <c r="G61" s="158">
        <f t="shared" si="5"/>
        <v>0.24294371538225332</v>
      </c>
      <c r="H61" s="159">
        <f t="shared" si="5"/>
        <v>11.295207689728874</v>
      </c>
      <c r="I61" s="121"/>
    </row>
    <row r="62" spans="2:9" ht="9.75" customHeight="1">
      <c r="B62" s="120">
        <v>2008</v>
      </c>
      <c r="C62" s="160">
        <f t="shared" si="5"/>
        <v>85.01095242608898</v>
      </c>
      <c r="D62" s="161">
        <f t="shared" si="5"/>
        <v>0.3494365139968783</v>
      </c>
      <c r="E62" s="161">
        <f t="shared" si="5"/>
        <v>0.43745962263028443</v>
      </c>
      <c r="F62" s="161">
        <f t="shared" si="5"/>
        <v>2.8682879428644203</v>
      </c>
      <c r="G62" s="161">
        <f t="shared" si="5"/>
        <v>0.24910173816424425</v>
      </c>
      <c r="H62" s="162">
        <f t="shared" si="5"/>
        <v>11.084761756255194</v>
      </c>
      <c r="I62" s="121"/>
    </row>
  </sheetData>
  <mergeCells count="31">
    <mergeCell ref="B44:I44"/>
    <mergeCell ref="B45:I45"/>
    <mergeCell ref="C46:C47"/>
    <mergeCell ref="D46:D47"/>
    <mergeCell ref="E46:E47"/>
    <mergeCell ref="F46:F47"/>
    <mergeCell ref="G46:G47"/>
    <mergeCell ref="H46:H47"/>
    <mergeCell ref="I46:I47"/>
    <mergeCell ref="B28:I28"/>
    <mergeCell ref="C29:C30"/>
    <mergeCell ref="D29:D30"/>
    <mergeCell ref="E29:E30"/>
    <mergeCell ref="F29:F30"/>
    <mergeCell ref="G29:G30"/>
    <mergeCell ref="H29:H30"/>
    <mergeCell ref="I29:I30"/>
    <mergeCell ref="B23:C23"/>
    <mergeCell ref="B24:I24"/>
    <mergeCell ref="B25:I25"/>
    <mergeCell ref="B27:I27"/>
    <mergeCell ref="B2:I2"/>
    <mergeCell ref="B3:I3"/>
    <mergeCell ref="B4:I4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B1:P44"/>
  <sheetViews>
    <sheetView workbookViewId="0" topLeftCell="A1">
      <selection activeCell="P23" sqref="P23"/>
    </sheetView>
  </sheetViews>
  <sheetFormatPr defaultColWidth="9.140625" defaultRowHeight="12.75"/>
  <cols>
    <col min="1" max="1" width="0.9921875" style="0" customWidth="1"/>
    <col min="2" max="2" width="9.7109375" style="0" customWidth="1"/>
    <col min="3" max="16" width="6.7109375" style="0" customWidth="1"/>
  </cols>
  <sheetData>
    <row r="1" spans="2:14" ht="14.25" customHeight="1">
      <c r="B1" s="24"/>
      <c r="N1" s="23" t="s">
        <v>48</v>
      </c>
    </row>
    <row r="2" spans="3:9" ht="12.75" customHeight="1">
      <c r="C2" s="47"/>
      <c r="D2" s="47"/>
      <c r="E2" s="47"/>
      <c r="I2" s="15"/>
    </row>
    <row r="3" spans="3:5" ht="12.75" customHeight="1">
      <c r="C3" s="15"/>
      <c r="D3" s="15"/>
      <c r="E3" s="15"/>
    </row>
    <row r="4" spans="3:7" ht="12.75" customHeight="1">
      <c r="C4" s="1"/>
      <c r="D4" s="1"/>
      <c r="E4" s="1"/>
      <c r="F4" s="1"/>
      <c r="G4" s="48"/>
    </row>
    <row r="5" spans="3:7" ht="12.75" customHeight="1">
      <c r="C5" s="1"/>
      <c r="D5" s="1"/>
      <c r="E5" s="1"/>
      <c r="F5" s="1"/>
      <c r="G5" s="1"/>
    </row>
    <row r="6" spans="3:7" ht="12.75" customHeight="1">
      <c r="C6" s="1"/>
      <c r="D6" s="1"/>
      <c r="E6" s="1"/>
      <c r="F6" s="1"/>
      <c r="G6" s="1"/>
    </row>
    <row r="7" spans="3:9" ht="12.75" customHeight="1">
      <c r="C7" s="1"/>
      <c r="D7" s="1"/>
      <c r="E7" s="1"/>
      <c r="F7" s="1"/>
      <c r="G7" s="1"/>
      <c r="I7" s="29"/>
    </row>
    <row r="8" spans="3:7" s="28" customFormat="1" ht="12.75" customHeight="1">
      <c r="C8" s="49"/>
      <c r="D8" s="1"/>
      <c r="E8" s="1"/>
      <c r="F8" s="1"/>
      <c r="G8" s="1"/>
    </row>
    <row r="9" spans="3:7" s="28" customFormat="1" ht="12.75" customHeight="1">
      <c r="C9" s="49"/>
      <c r="D9" s="1"/>
      <c r="E9" s="1"/>
      <c r="F9" s="1"/>
      <c r="G9" s="1"/>
    </row>
    <row r="10" spans="3:7" s="29" customFormat="1" ht="12.75" customHeight="1">
      <c r="C10" s="50"/>
      <c r="D10" s="1"/>
      <c r="E10" s="1"/>
      <c r="F10" s="1"/>
      <c r="G10" s="1"/>
    </row>
    <row r="11" spans="3:7" s="29" customFormat="1" ht="12.75" customHeight="1">
      <c r="C11" s="50"/>
      <c r="D11" s="1"/>
      <c r="E11" s="1"/>
      <c r="F11" s="1"/>
      <c r="G11" s="1"/>
    </row>
    <row r="12" spans="3:7" s="29" customFormat="1" ht="12.75" customHeight="1">
      <c r="C12" s="50"/>
      <c r="D12" s="1"/>
      <c r="E12" s="1"/>
      <c r="F12" s="1"/>
      <c r="G12" s="1"/>
    </row>
    <row r="13" spans="3:7" s="29" customFormat="1" ht="12.75" customHeight="1">
      <c r="C13" s="50"/>
      <c r="D13" s="1"/>
      <c r="E13" s="1"/>
      <c r="F13" s="1"/>
      <c r="G13" s="1"/>
    </row>
    <row r="14" spans="3:7" s="29" customFormat="1" ht="12.75" customHeight="1">
      <c r="C14" s="50"/>
      <c r="D14" s="1"/>
      <c r="E14" s="1"/>
      <c r="F14" s="1"/>
      <c r="G14" s="1"/>
    </row>
    <row r="15" spans="3:7" s="29" customFormat="1" ht="12.75" customHeight="1">
      <c r="C15" s="50"/>
      <c r="D15" s="1"/>
      <c r="E15" s="1"/>
      <c r="F15" s="1"/>
      <c r="G15" s="1"/>
    </row>
    <row r="16" spans="3:7" s="30" customFormat="1" ht="12.75" customHeight="1">
      <c r="C16" s="34"/>
      <c r="D16" s="1"/>
      <c r="E16" s="1"/>
      <c r="F16" s="1"/>
      <c r="G16" s="1"/>
    </row>
    <row r="17" spans="3:7" s="39" customFormat="1" ht="12.75" customHeight="1">
      <c r="C17" s="51"/>
      <c r="D17" s="1"/>
      <c r="E17" s="1"/>
      <c r="F17" s="1"/>
      <c r="G17" s="1"/>
    </row>
    <row r="18" spans="3:7" ht="12.75" customHeight="1">
      <c r="C18" s="1"/>
      <c r="D18" s="1"/>
      <c r="E18" s="1"/>
      <c r="F18" s="1"/>
      <c r="G18" s="1"/>
    </row>
    <row r="19" spans="3:7" s="53" customFormat="1" ht="12.75" customHeight="1">
      <c r="C19" s="52"/>
      <c r="D19" s="1"/>
      <c r="E19" s="1"/>
      <c r="F19" s="1"/>
      <c r="G19" s="1"/>
    </row>
    <row r="20" spans="3:7" s="53" customFormat="1" ht="12.75" customHeight="1">
      <c r="C20" s="52"/>
      <c r="D20" s="1"/>
      <c r="E20" s="1"/>
      <c r="F20" s="1"/>
      <c r="G20" s="1"/>
    </row>
    <row r="21" spans="3:7" s="53" customFormat="1" ht="12.75" customHeight="1">
      <c r="C21" s="52"/>
      <c r="D21" s="1"/>
      <c r="E21" s="1"/>
      <c r="F21" s="1"/>
      <c r="G21" s="1"/>
    </row>
    <row r="22" spans="3:7" ht="12.75" customHeight="1">
      <c r="C22" s="1"/>
      <c r="D22" s="1"/>
      <c r="E22" s="1"/>
      <c r="F22" s="1"/>
      <c r="G22" s="1"/>
    </row>
    <row r="23" spans="3:7" ht="12.75" customHeight="1">
      <c r="C23" s="1"/>
      <c r="D23" s="1"/>
      <c r="E23" s="1"/>
      <c r="F23" s="1"/>
      <c r="G23" s="1"/>
    </row>
    <row r="24" spans="3:7" ht="12.75" customHeight="1">
      <c r="C24" s="1"/>
      <c r="D24" s="1"/>
      <c r="E24" s="1"/>
      <c r="F24" s="1"/>
      <c r="G24" s="1"/>
    </row>
    <row r="25" spans="3:7" s="28" customFormat="1" ht="12.75" customHeight="1">
      <c r="C25" s="49"/>
      <c r="D25" s="1"/>
      <c r="E25" s="1"/>
      <c r="F25" s="1"/>
      <c r="G25" s="1"/>
    </row>
    <row r="26" spans="3:7" s="28" customFormat="1" ht="12.75" customHeight="1">
      <c r="C26" s="49"/>
      <c r="D26" s="1"/>
      <c r="E26" s="1"/>
      <c r="F26" s="1"/>
      <c r="G26" s="1"/>
    </row>
    <row r="27" spans="3:7" s="30" customFormat="1" ht="12.75" customHeight="1">
      <c r="C27" s="34"/>
      <c r="D27" s="1"/>
      <c r="E27" s="1"/>
      <c r="F27" s="1"/>
      <c r="G27" s="1"/>
    </row>
    <row r="28" spans="3:7" s="29" customFormat="1" ht="12.75" customHeight="1">
      <c r="C28" s="50"/>
      <c r="D28" s="1"/>
      <c r="E28" s="1"/>
      <c r="F28" s="1"/>
      <c r="G28" s="1"/>
    </row>
    <row r="29" spans="3:7" s="29" customFormat="1" ht="12.75" customHeight="1">
      <c r="C29" s="50"/>
      <c r="D29" s="1"/>
      <c r="E29" s="1"/>
      <c r="F29" s="1"/>
      <c r="G29" s="1"/>
    </row>
    <row r="30" spans="3:7" s="29" customFormat="1" ht="12.75" customHeight="1">
      <c r="C30" s="50"/>
      <c r="D30" s="1"/>
      <c r="E30" s="1"/>
      <c r="F30" s="1"/>
      <c r="G30" s="1"/>
    </row>
    <row r="31" spans="3:7" s="29" customFormat="1" ht="12.75" customHeight="1">
      <c r="C31" s="50"/>
      <c r="D31" s="1"/>
      <c r="E31" s="1"/>
      <c r="F31" s="1"/>
      <c r="G31" s="1"/>
    </row>
    <row r="32" ht="15" customHeight="1">
      <c r="B32" s="54" t="s">
        <v>103</v>
      </c>
    </row>
    <row r="35" ht="21.75" customHeight="1"/>
    <row r="36" spans="2:16" ht="21.75" customHeight="1">
      <c r="B36" s="28"/>
      <c r="C36" s="256">
        <v>1995</v>
      </c>
      <c r="D36" s="257">
        <v>1996</v>
      </c>
      <c r="E36" s="257">
        <v>1997</v>
      </c>
      <c r="F36" s="257">
        <v>1998</v>
      </c>
      <c r="G36" s="257">
        <v>1999</v>
      </c>
      <c r="H36" s="257">
        <v>2000</v>
      </c>
      <c r="I36" s="257">
        <v>2001</v>
      </c>
      <c r="J36" s="257">
        <v>2002</v>
      </c>
      <c r="K36" s="257">
        <v>2003</v>
      </c>
      <c r="L36" s="257">
        <v>2004</v>
      </c>
      <c r="M36" s="257">
        <v>2005</v>
      </c>
      <c r="N36" s="257">
        <v>2006</v>
      </c>
      <c r="O36" s="257">
        <v>2007</v>
      </c>
      <c r="P36" s="258">
        <v>2008</v>
      </c>
    </row>
    <row r="37" spans="2:16" ht="21.75" customHeight="1">
      <c r="B37" s="135" t="s">
        <v>57</v>
      </c>
      <c r="C37" s="282">
        <v>3892.9974954999993</v>
      </c>
      <c r="D37" s="283">
        <v>3960.5039999999995</v>
      </c>
      <c r="E37" s="283">
        <v>4039.042</v>
      </c>
      <c r="F37" s="283">
        <v>4137.4914551</v>
      </c>
      <c r="G37" s="283">
        <v>4240.497000000001</v>
      </c>
      <c r="H37" s="283">
        <v>4321.9531157</v>
      </c>
      <c r="I37" s="283">
        <v>4405.5201529999995</v>
      </c>
      <c r="J37" s="283">
        <v>4480.481639600001</v>
      </c>
      <c r="K37" s="283">
        <v>4511.019311500001</v>
      </c>
      <c r="L37" s="283">
        <v>4570.037399999999</v>
      </c>
      <c r="M37" s="283">
        <v>4563.5205000000005</v>
      </c>
      <c r="N37" s="284">
        <v>4679.5186</v>
      </c>
      <c r="O37" s="284">
        <v>4759.9632</v>
      </c>
      <c r="P37" s="285">
        <v>4724.953</v>
      </c>
    </row>
    <row r="38" spans="2:16" ht="21.75" customHeight="1">
      <c r="B38" s="135" t="s">
        <v>11</v>
      </c>
      <c r="C38" s="282">
        <v>122.46792500000001</v>
      </c>
      <c r="D38" s="283">
        <v>123.85061400000001</v>
      </c>
      <c r="E38" s="283">
        <v>126.40591099999997</v>
      </c>
      <c r="F38" s="283">
        <v>128.60786399999998</v>
      </c>
      <c r="G38" s="283">
        <v>132.540084</v>
      </c>
      <c r="H38" s="283">
        <v>134.63484400000002</v>
      </c>
      <c r="I38" s="283">
        <v>137.81674300000003</v>
      </c>
      <c r="J38" s="283">
        <v>138.07645200000002</v>
      </c>
      <c r="K38" s="283">
        <v>142.28599999999997</v>
      </c>
      <c r="L38" s="283">
        <v>145.32744399999999</v>
      </c>
      <c r="M38" s="283">
        <v>148.49719999999996</v>
      </c>
      <c r="N38" s="284">
        <v>152.20192400000002</v>
      </c>
      <c r="O38" s="284">
        <v>152.41420000000002</v>
      </c>
      <c r="P38" s="285">
        <v>155.372552</v>
      </c>
    </row>
    <row r="39" spans="2:16" ht="21.75" customHeight="1">
      <c r="B39" s="135" t="s">
        <v>58</v>
      </c>
      <c r="C39" s="282">
        <v>499.8066829883459</v>
      </c>
      <c r="D39" s="283">
        <v>503.7473816424689</v>
      </c>
      <c r="E39" s="283">
        <v>504.50601824935836</v>
      </c>
      <c r="F39" s="283">
        <v>512.5016213602288</v>
      </c>
      <c r="G39" s="283">
        <v>515.1545506258374</v>
      </c>
      <c r="H39" s="283">
        <v>518.2492801315416</v>
      </c>
      <c r="I39" s="283">
        <v>519.7816254988263</v>
      </c>
      <c r="J39" s="283">
        <v>518.8602192126759</v>
      </c>
      <c r="K39" s="283">
        <v>520.0873691636135</v>
      </c>
      <c r="L39" s="283">
        <v>526.9073673285079</v>
      </c>
      <c r="M39" s="283">
        <v>528.49788246</v>
      </c>
      <c r="N39" s="284">
        <v>527.8404740000001</v>
      </c>
      <c r="O39" s="284">
        <v>541.9616619999999</v>
      </c>
      <c r="P39" s="285">
        <v>546.7225</v>
      </c>
    </row>
    <row r="40" spans="2:16" ht="21.75" customHeight="1">
      <c r="B40" s="135" t="s">
        <v>59</v>
      </c>
      <c r="C40" s="282">
        <v>350.52470000000005</v>
      </c>
      <c r="D40" s="283">
        <v>348.9918000000001</v>
      </c>
      <c r="E40" s="283">
        <v>350.5315999999999</v>
      </c>
      <c r="F40" s="283">
        <v>350.6032000000001</v>
      </c>
      <c r="G40" s="283">
        <v>358.59970000000004</v>
      </c>
      <c r="H40" s="283">
        <v>370.70809999999994</v>
      </c>
      <c r="I40" s="283">
        <v>372.739349</v>
      </c>
      <c r="J40" s="283">
        <v>365.5702500000001</v>
      </c>
      <c r="K40" s="283">
        <v>361.88681399999996</v>
      </c>
      <c r="L40" s="283">
        <v>367.816833</v>
      </c>
      <c r="M40" s="283">
        <v>376.9683990000001</v>
      </c>
      <c r="N40" s="284">
        <v>388.878911</v>
      </c>
      <c r="O40" s="284">
        <v>395.29815400000007</v>
      </c>
      <c r="P40" s="285">
        <v>409.19773000000015</v>
      </c>
    </row>
    <row r="41" spans="2:16" ht="21.75" customHeight="1">
      <c r="B41" s="135" t="s">
        <v>2</v>
      </c>
      <c r="C41" s="282">
        <v>71.08849000000001</v>
      </c>
      <c r="D41" s="283">
        <v>71.9473</v>
      </c>
      <c r="E41" s="283">
        <v>72.5027</v>
      </c>
      <c r="F41" s="283">
        <v>73.52426399999999</v>
      </c>
      <c r="G41" s="283">
        <v>75.080742</v>
      </c>
      <c r="H41" s="283">
        <v>77.1444</v>
      </c>
      <c r="I41" s="283">
        <v>77.81226278</v>
      </c>
      <c r="J41" s="283">
        <v>78.49671163</v>
      </c>
      <c r="K41" s="283">
        <v>79.31302059999999</v>
      </c>
      <c r="L41" s="283">
        <v>81.93558177</v>
      </c>
      <c r="M41" s="283">
        <v>82.39904154</v>
      </c>
      <c r="N41" s="284">
        <v>84.15403599999999</v>
      </c>
      <c r="O41" s="284">
        <v>85.92502800000001</v>
      </c>
      <c r="P41" s="285">
        <v>88.96004540000001</v>
      </c>
    </row>
    <row r="42" spans="2:16" ht="21.75" customHeight="1">
      <c r="B42" s="135" t="s">
        <v>62</v>
      </c>
      <c r="C42" s="286">
        <v>346</v>
      </c>
      <c r="D42" s="287">
        <v>366</v>
      </c>
      <c r="E42" s="287">
        <v>390</v>
      </c>
      <c r="F42" s="287">
        <v>409</v>
      </c>
      <c r="G42" s="287">
        <v>425</v>
      </c>
      <c r="H42" s="287">
        <v>457</v>
      </c>
      <c r="I42" s="287">
        <v>453</v>
      </c>
      <c r="J42" s="287">
        <v>445</v>
      </c>
      <c r="K42" s="287">
        <v>463</v>
      </c>
      <c r="L42" s="287">
        <v>493</v>
      </c>
      <c r="M42" s="283">
        <v>527</v>
      </c>
      <c r="N42" s="284">
        <v>549</v>
      </c>
      <c r="O42" s="284">
        <v>572</v>
      </c>
      <c r="P42" s="285">
        <v>561</v>
      </c>
    </row>
    <row r="43" spans="2:16" ht="21.75" customHeight="1">
      <c r="B43" s="135" t="s">
        <v>61</v>
      </c>
      <c r="C43" s="286">
        <v>44.4</v>
      </c>
      <c r="D43" s="287">
        <v>44</v>
      </c>
      <c r="E43" s="287">
        <v>43.6</v>
      </c>
      <c r="F43" s="287">
        <v>43.1</v>
      </c>
      <c r="G43" s="287">
        <v>42.6</v>
      </c>
      <c r="H43" s="287">
        <v>41.7</v>
      </c>
      <c r="I43" s="287">
        <v>42</v>
      </c>
      <c r="J43" s="287">
        <v>41.5</v>
      </c>
      <c r="K43" s="287">
        <v>41.2</v>
      </c>
      <c r="L43" s="287">
        <v>40.5</v>
      </c>
      <c r="M43" s="283">
        <v>39.5</v>
      </c>
      <c r="N43" s="284">
        <v>40</v>
      </c>
      <c r="O43" s="284">
        <v>41</v>
      </c>
      <c r="P43" s="285">
        <v>40.9</v>
      </c>
    </row>
    <row r="44" spans="2:16" ht="21.75" customHeight="1">
      <c r="B44" s="136" t="s">
        <v>63</v>
      </c>
      <c r="C44" s="288">
        <f aca="true" t="shared" si="0" ref="C44:J44">SUM(C37:C43)</f>
        <v>5327.285293488345</v>
      </c>
      <c r="D44" s="289">
        <f t="shared" si="0"/>
        <v>5419.041095642468</v>
      </c>
      <c r="E44" s="289">
        <f t="shared" si="0"/>
        <v>5526.588229249359</v>
      </c>
      <c r="F44" s="289">
        <f t="shared" si="0"/>
        <v>5654.828404460229</v>
      </c>
      <c r="G44" s="289">
        <f t="shared" si="0"/>
        <v>5789.472076625839</v>
      </c>
      <c r="H44" s="289">
        <f t="shared" si="0"/>
        <v>5921.389739831542</v>
      </c>
      <c r="I44" s="289">
        <f t="shared" si="0"/>
        <v>6008.670133278827</v>
      </c>
      <c r="J44" s="289">
        <f t="shared" si="0"/>
        <v>6067.985272442676</v>
      </c>
      <c r="K44" s="289">
        <f aca="true" t="shared" si="1" ref="K44:P44">SUM(K37:K43)</f>
        <v>6118.792515263614</v>
      </c>
      <c r="L44" s="289">
        <f t="shared" si="1"/>
        <v>6225.524626098507</v>
      </c>
      <c r="M44" s="289">
        <f t="shared" si="1"/>
        <v>6266.383023000001</v>
      </c>
      <c r="N44" s="289">
        <f t="shared" si="1"/>
        <v>6421.5939450000005</v>
      </c>
      <c r="O44" s="289">
        <f t="shared" si="1"/>
        <v>6548.562244</v>
      </c>
      <c r="P44" s="290">
        <f t="shared" si="1"/>
        <v>6527.1058274</v>
      </c>
    </row>
  </sheetData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Q49"/>
  <sheetViews>
    <sheetView workbookViewId="0" topLeftCell="A1">
      <selection activeCell="O15" sqref="O15"/>
    </sheetView>
  </sheetViews>
  <sheetFormatPr defaultColWidth="9.140625" defaultRowHeight="12.75"/>
  <cols>
    <col min="1" max="1" width="3.00390625" style="0" customWidth="1"/>
    <col min="2" max="2" width="4.8515625" style="0" customWidth="1"/>
    <col min="3" max="10" width="6.7109375" style="0" customWidth="1"/>
    <col min="12" max="12" width="6.8515625" style="0" customWidth="1"/>
    <col min="13" max="17" width="6.7109375" style="0" customWidth="1"/>
  </cols>
  <sheetData>
    <row r="1" spans="2:10" ht="14.25" customHeight="1">
      <c r="B1" s="55"/>
      <c r="C1" s="43"/>
      <c r="D1" s="43"/>
      <c r="E1" s="43"/>
      <c r="F1" s="43"/>
      <c r="G1" s="43"/>
      <c r="H1" s="43"/>
      <c r="I1" s="43"/>
      <c r="J1" s="44" t="s">
        <v>49</v>
      </c>
    </row>
    <row r="2" spans="1:11" s="24" customFormat="1" ht="30" customHeight="1">
      <c r="A2"/>
      <c r="B2" s="417" t="s">
        <v>113</v>
      </c>
      <c r="C2" s="417"/>
      <c r="D2" s="417"/>
      <c r="E2" s="417"/>
      <c r="F2" s="417"/>
      <c r="G2" s="417"/>
      <c r="H2" s="417"/>
      <c r="I2" s="417"/>
      <c r="J2" s="417"/>
      <c r="K2"/>
    </row>
    <row r="3" spans="2:10" ht="15" customHeight="1">
      <c r="B3" s="417" t="s">
        <v>1</v>
      </c>
      <c r="C3" s="417"/>
      <c r="D3" s="417"/>
      <c r="E3" s="417"/>
      <c r="F3" s="417"/>
      <c r="G3" s="417"/>
      <c r="H3" s="417"/>
      <c r="I3" s="417"/>
      <c r="J3" s="417"/>
    </row>
    <row r="4" spans="2:11" s="30" customFormat="1" ht="13.5" customHeight="1">
      <c r="B4" s="418" t="s">
        <v>3</v>
      </c>
      <c r="C4" s="418"/>
      <c r="D4" s="418"/>
      <c r="E4" s="418"/>
      <c r="F4" s="418"/>
      <c r="G4" s="418"/>
      <c r="H4" s="418"/>
      <c r="I4" s="418"/>
      <c r="J4" s="418"/>
      <c r="K4"/>
    </row>
    <row r="5" spans="2:12" s="28" customFormat="1" ht="19.5" customHeight="1">
      <c r="B5" s="42"/>
      <c r="C5" s="419" t="s">
        <v>114</v>
      </c>
      <c r="D5" s="419" t="s">
        <v>12</v>
      </c>
      <c r="E5" s="419" t="s">
        <v>4</v>
      </c>
      <c r="F5" s="419" t="s">
        <v>115</v>
      </c>
      <c r="G5" s="419" t="s">
        <v>2</v>
      </c>
      <c r="H5" s="419" t="s">
        <v>62</v>
      </c>
      <c r="I5" s="419" t="s">
        <v>61</v>
      </c>
      <c r="J5" s="419" t="s">
        <v>63</v>
      </c>
      <c r="K5" s="39"/>
      <c r="L5" s="39"/>
    </row>
    <row r="6" spans="2:12" s="28" customFormat="1" ht="19.5" customHeight="1">
      <c r="B6" s="42"/>
      <c r="C6" s="420"/>
      <c r="D6" s="420"/>
      <c r="E6" s="420"/>
      <c r="F6" s="420"/>
      <c r="G6" s="420"/>
      <c r="H6" s="420"/>
      <c r="I6" s="420"/>
      <c r="J6" s="420"/>
      <c r="K6" s="39"/>
      <c r="L6" s="39"/>
    </row>
    <row r="7" spans="2:17" s="28" customFormat="1" ht="12.75" customHeight="1">
      <c r="B7" s="262">
        <v>1995</v>
      </c>
      <c r="C7" s="218">
        <v>3892.9974954999993</v>
      </c>
      <c r="D7" s="219">
        <v>122.46792500000001</v>
      </c>
      <c r="E7" s="219">
        <v>499.8066829883459</v>
      </c>
      <c r="F7" s="220">
        <v>350.52470000000005</v>
      </c>
      <c r="G7" s="219">
        <v>71.08849000000001</v>
      </c>
      <c r="H7" s="219">
        <v>346</v>
      </c>
      <c r="I7" s="221">
        <v>44.4</v>
      </c>
      <c r="J7" s="222">
        <f aca="true" t="shared" si="0" ref="J7:J20">SUM(C7:I7)</f>
        <v>5327.285293488345</v>
      </c>
      <c r="K7" s="39"/>
      <c r="L7" s="39"/>
      <c r="Q7" s="6"/>
    </row>
    <row r="8" spans="1:17" s="28" customFormat="1" ht="12.75" customHeight="1">
      <c r="A8" s="30"/>
      <c r="B8" s="92">
        <v>1996</v>
      </c>
      <c r="C8" s="218">
        <v>3960.5039999999995</v>
      </c>
      <c r="D8" s="219">
        <v>123.85061400000001</v>
      </c>
      <c r="E8" s="219">
        <v>503.7473816424689</v>
      </c>
      <c r="F8" s="220">
        <v>348.9918000000001</v>
      </c>
      <c r="G8" s="219">
        <v>71.9473</v>
      </c>
      <c r="H8" s="219">
        <v>366</v>
      </c>
      <c r="I8" s="221">
        <v>44</v>
      </c>
      <c r="J8" s="223">
        <f t="shared" si="0"/>
        <v>5419.041095642468</v>
      </c>
      <c r="K8" s="39"/>
      <c r="L8" s="39"/>
      <c r="Q8" s="332"/>
    </row>
    <row r="9" spans="1:17" s="28" customFormat="1" ht="12.75" customHeight="1">
      <c r="A9" s="30"/>
      <c r="B9" s="92">
        <v>1997</v>
      </c>
      <c r="C9" s="218">
        <v>4039.042</v>
      </c>
      <c r="D9" s="219">
        <v>126.40591099999997</v>
      </c>
      <c r="E9" s="219">
        <v>504.50601824935836</v>
      </c>
      <c r="F9" s="220">
        <v>350.5315999999999</v>
      </c>
      <c r="G9" s="219">
        <v>72.5027</v>
      </c>
      <c r="H9" s="219">
        <v>390</v>
      </c>
      <c r="I9" s="221">
        <v>43.6</v>
      </c>
      <c r="J9" s="223">
        <f t="shared" si="0"/>
        <v>5526.588229249359</v>
      </c>
      <c r="K9" s="39"/>
      <c r="L9" s="39"/>
      <c r="Q9" s="332"/>
    </row>
    <row r="10" spans="1:17" s="28" customFormat="1" ht="12.75" customHeight="1">
      <c r="A10" s="30"/>
      <c r="B10" s="92">
        <v>1998</v>
      </c>
      <c r="C10" s="218">
        <v>4137.4914551</v>
      </c>
      <c r="D10" s="219">
        <v>128.60786399999998</v>
      </c>
      <c r="E10" s="219">
        <v>512.5016213602288</v>
      </c>
      <c r="F10" s="220">
        <v>350.6032000000001</v>
      </c>
      <c r="G10" s="219">
        <v>73.52426399999999</v>
      </c>
      <c r="H10" s="219">
        <v>409</v>
      </c>
      <c r="I10" s="221">
        <v>43.1</v>
      </c>
      <c r="J10" s="223">
        <f t="shared" si="0"/>
        <v>5654.828404460229</v>
      </c>
      <c r="K10" s="39"/>
      <c r="L10" s="39"/>
      <c r="Q10" s="332"/>
    </row>
    <row r="11" spans="2:17" s="30" customFormat="1" ht="12.75" customHeight="1">
      <c r="B11" s="92">
        <v>1999</v>
      </c>
      <c r="C11" s="218">
        <v>4240.497000000001</v>
      </c>
      <c r="D11" s="219">
        <v>132.540084</v>
      </c>
      <c r="E11" s="219">
        <v>515.1545506258374</v>
      </c>
      <c r="F11" s="220">
        <v>358.59970000000004</v>
      </c>
      <c r="G11" s="219">
        <v>75.080742</v>
      </c>
      <c r="H11" s="219">
        <v>425</v>
      </c>
      <c r="I11" s="221">
        <v>42.6</v>
      </c>
      <c r="J11" s="223">
        <f t="shared" si="0"/>
        <v>5789.472076625839</v>
      </c>
      <c r="K11" s="39"/>
      <c r="L11" s="39"/>
      <c r="Q11" s="332"/>
    </row>
    <row r="12" spans="2:17" s="30" customFormat="1" ht="12.75" customHeight="1">
      <c r="B12" s="92">
        <v>2000</v>
      </c>
      <c r="C12" s="218">
        <v>4321.9531157</v>
      </c>
      <c r="D12" s="219">
        <v>134.63484400000002</v>
      </c>
      <c r="E12" s="219">
        <v>518.2492801315416</v>
      </c>
      <c r="F12" s="220">
        <v>370.70809999999994</v>
      </c>
      <c r="G12" s="219">
        <v>77.1444</v>
      </c>
      <c r="H12" s="219">
        <v>457</v>
      </c>
      <c r="I12" s="221">
        <v>41.7</v>
      </c>
      <c r="J12" s="223">
        <f t="shared" si="0"/>
        <v>5921.389739831542</v>
      </c>
      <c r="K12" s="39"/>
      <c r="L12" s="39"/>
      <c r="Q12" s="332"/>
    </row>
    <row r="13" spans="2:16" s="30" customFormat="1" ht="12.75" customHeight="1">
      <c r="B13" s="92">
        <v>2001</v>
      </c>
      <c r="C13" s="218">
        <v>4405.5201529999995</v>
      </c>
      <c r="D13" s="219">
        <v>137.81674300000003</v>
      </c>
      <c r="E13" s="219">
        <v>519.7816254988263</v>
      </c>
      <c r="F13" s="220">
        <v>372.739349</v>
      </c>
      <c r="G13" s="219">
        <v>77.81226278</v>
      </c>
      <c r="H13" s="219">
        <v>453</v>
      </c>
      <c r="I13" s="221">
        <v>42</v>
      </c>
      <c r="J13" s="223">
        <f t="shared" si="0"/>
        <v>6008.670133278827</v>
      </c>
      <c r="K13" s="39"/>
      <c r="L13" s="39"/>
      <c r="N13" s="332"/>
      <c r="O13" s="332"/>
      <c r="P13" s="332"/>
    </row>
    <row r="14" spans="2:12" s="30" customFormat="1" ht="12.75" customHeight="1">
      <c r="B14" s="92">
        <v>2002</v>
      </c>
      <c r="C14" s="218">
        <v>4480.481639600001</v>
      </c>
      <c r="D14" s="219">
        <v>138.07645200000002</v>
      </c>
      <c r="E14" s="219">
        <v>518.8602192126759</v>
      </c>
      <c r="F14" s="220">
        <v>365.5702500000001</v>
      </c>
      <c r="G14" s="219">
        <v>78.49671163</v>
      </c>
      <c r="H14" s="219">
        <v>445</v>
      </c>
      <c r="I14" s="221">
        <v>41.5</v>
      </c>
      <c r="J14" s="223">
        <f t="shared" si="0"/>
        <v>6067.985272442676</v>
      </c>
      <c r="K14" s="39"/>
      <c r="L14" s="39"/>
    </row>
    <row r="15" spans="1:12" s="30" customFormat="1" ht="12.75" customHeight="1">
      <c r="A15" s="29"/>
      <c r="B15" s="92">
        <v>2003</v>
      </c>
      <c r="C15" s="218">
        <v>4511.019311500001</v>
      </c>
      <c r="D15" s="219">
        <v>142.28599999999997</v>
      </c>
      <c r="E15" s="219">
        <v>520.0873691636135</v>
      </c>
      <c r="F15" s="220">
        <v>361.88681399999996</v>
      </c>
      <c r="G15" s="219">
        <v>79.31302059999999</v>
      </c>
      <c r="H15" s="219">
        <v>463</v>
      </c>
      <c r="I15" s="221">
        <v>41.2</v>
      </c>
      <c r="J15" s="223">
        <f t="shared" si="0"/>
        <v>6118.792515263614</v>
      </c>
      <c r="K15" s="39"/>
      <c r="L15" s="39"/>
    </row>
    <row r="16" spans="1:12" s="30" customFormat="1" ht="12.75" customHeight="1">
      <c r="A16" s="29"/>
      <c r="B16" s="92">
        <v>2004</v>
      </c>
      <c r="C16" s="218">
        <v>4570.037399999999</v>
      </c>
      <c r="D16" s="219">
        <v>145.32744399999999</v>
      </c>
      <c r="E16" s="219">
        <v>526.9073673285079</v>
      </c>
      <c r="F16" s="220">
        <v>367.816833</v>
      </c>
      <c r="G16" s="219">
        <v>81.93558177</v>
      </c>
      <c r="H16" s="219">
        <v>493</v>
      </c>
      <c r="I16" s="221">
        <v>40.5</v>
      </c>
      <c r="J16" s="223">
        <f t="shared" si="0"/>
        <v>6225.524626098507</v>
      </c>
      <c r="K16" s="39"/>
      <c r="L16" s="39"/>
    </row>
    <row r="17" spans="2:12" s="30" customFormat="1" ht="12.75" customHeight="1">
      <c r="B17" s="92">
        <v>2005</v>
      </c>
      <c r="C17" s="218">
        <v>4563.5205000000005</v>
      </c>
      <c r="D17" s="219">
        <v>148.49719999999996</v>
      </c>
      <c r="E17" s="219">
        <v>528.49788246</v>
      </c>
      <c r="F17" s="220">
        <v>376.9683990000001</v>
      </c>
      <c r="G17" s="219">
        <v>82.39904154</v>
      </c>
      <c r="H17" s="219">
        <v>527</v>
      </c>
      <c r="I17" s="221">
        <v>39.5</v>
      </c>
      <c r="J17" s="223">
        <f t="shared" si="0"/>
        <v>6266.383023000001</v>
      </c>
      <c r="K17" s="39"/>
      <c r="L17" s="39"/>
    </row>
    <row r="18" spans="1:12" s="29" customFormat="1" ht="12.75" customHeight="1">
      <c r="A18" s="39"/>
      <c r="B18" s="92">
        <v>2006</v>
      </c>
      <c r="C18" s="218">
        <v>4679.5186</v>
      </c>
      <c r="D18" s="219">
        <v>152.20192400000002</v>
      </c>
      <c r="E18" s="219">
        <v>527.8404740000001</v>
      </c>
      <c r="F18" s="220">
        <v>388.878911</v>
      </c>
      <c r="G18" s="219">
        <v>84.15403599999999</v>
      </c>
      <c r="H18" s="219">
        <v>549</v>
      </c>
      <c r="I18" s="221">
        <v>40</v>
      </c>
      <c r="J18" s="223">
        <f t="shared" si="0"/>
        <v>6421.5939450000005</v>
      </c>
      <c r="K18" s="39"/>
      <c r="L18" s="39"/>
    </row>
    <row r="19" spans="1:12" s="29" customFormat="1" ht="12.75" customHeight="1">
      <c r="A19" s="30"/>
      <c r="B19" s="92">
        <v>2007</v>
      </c>
      <c r="C19" s="218">
        <v>4759.9632</v>
      </c>
      <c r="D19" s="219">
        <v>152.41420000000002</v>
      </c>
      <c r="E19" s="219">
        <v>541.9616619999999</v>
      </c>
      <c r="F19" s="220">
        <v>395.29815400000007</v>
      </c>
      <c r="G19" s="219">
        <v>85.92502800000001</v>
      </c>
      <c r="H19" s="219">
        <v>572</v>
      </c>
      <c r="I19" s="221">
        <v>41</v>
      </c>
      <c r="J19" s="223">
        <f t="shared" si="0"/>
        <v>6548.562244</v>
      </c>
      <c r="K19" s="39"/>
      <c r="L19" s="39"/>
    </row>
    <row r="20" spans="1:12" s="29" customFormat="1" ht="12.75" customHeight="1">
      <c r="A20" s="30"/>
      <c r="B20" s="263">
        <v>2008</v>
      </c>
      <c r="C20" s="224">
        <v>4724.953</v>
      </c>
      <c r="D20" s="225">
        <v>155.372552</v>
      </c>
      <c r="E20" s="225">
        <v>546.7225</v>
      </c>
      <c r="F20" s="226">
        <v>409.19773000000015</v>
      </c>
      <c r="G20" s="225">
        <v>88.96004540000001</v>
      </c>
      <c r="H20" s="225">
        <v>561</v>
      </c>
      <c r="I20" s="227">
        <v>40.9</v>
      </c>
      <c r="J20" s="223">
        <f t="shared" si="0"/>
        <v>6527.1058274</v>
      </c>
      <c r="K20" s="39"/>
      <c r="L20" s="39"/>
    </row>
    <row r="21" spans="1:12" ht="22.5" customHeight="1">
      <c r="A21" s="53"/>
      <c r="B21" s="264" t="s">
        <v>121</v>
      </c>
      <c r="C21" s="228">
        <f aca="true" t="shared" si="1" ref="C21:J21">C20/C7-1</f>
        <v>0.21370563568604317</v>
      </c>
      <c r="D21" s="229">
        <f t="shared" si="1"/>
        <v>0.26867955017609724</v>
      </c>
      <c r="E21" s="229">
        <f t="shared" si="1"/>
        <v>0.0938679265574125</v>
      </c>
      <c r="F21" s="229">
        <f t="shared" si="1"/>
        <v>0.1673862926064842</v>
      </c>
      <c r="G21" s="229">
        <f t="shared" si="1"/>
        <v>0.25139872010222764</v>
      </c>
      <c r="H21" s="229">
        <f t="shared" si="1"/>
        <v>0.6213872832369942</v>
      </c>
      <c r="I21" s="229">
        <f t="shared" si="1"/>
        <v>-0.0788288288288288</v>
      </c>
      <c r="J21" s="230">
        <f t="shared" si="1"/>
        <v>0.22522175325924843</v>
      </c>
      <c r="K21" s="39"/>
      <c r="L21" s="39"/>
    </row>
    <row r="22" spans="1:10" s="39" customFormat="1" ht="22.5" customHeight="1">
      <c r="A22" s="53"/>
      <c r="B22" s="265" t="s">
        <v>66</v>
      </c>
      <c r="C22" s="231">
        <f aca="true" t="shared" si="2" ref="C22:J22">(POWER((C20/C7),1/13)-1)</f>
        <v>0.015009855392847049</v>
      </c>
      <c r="D22" s="232">
        <f t="shared" si="2"/>
        <v>0.01847447501836319</v>
      </c>
      <c r="E22" s="232">
        <f t="shared" si="2"/>
        <v>0.006925406749106688</v>
      </c>
      <c r="F22" s="232">
        <f t="shared" si="2"/>
        <v>0.011976326534133497</v>
      </c>
      <c r="G22" s="232">
        <f t="shared" si="2"/>
        <v>0.01740057189823374</v>
      </c>
      <c r="H22" s="232">
        <f t="shared" si="2"/>
        <v>0.037875202279000986</v>
      </c>
      <c r="I22" s="232">
        <f t="shared" si="2"/>
        <v>-0.006296203501264475</v>
      </c>
      <c r="J22" s="233">
        <f t="shared" si="2"/>
        <v>0.01574746251657988</v>
      </c>
    </row>
    <row r="23" spans="1:10" ht="22.5" customHeight="1">
      <c r="A23" s="53"/>
      <c r="B23" s="264" t="s">
        <v>119</v>
      </c>
      <c r="C23" s="228">
        <f aca="true" t="shared" si="3" ref="C23:J23">C20/C12-1</f>
        <v>0.09324485331320598</v>
      </c>
      <c r="D23" s="229">
        <f t="shared" si="3"/>
        <v>0.1540292793743645</v>
      </c>
      <c r="E23" s="229">
        <f t="shared" si="3"/>
        <v>0.05494116626892631</v>
      </c>
      <c r="F23" s="229">
        <f t="shared" si="3"/>
        <v>0.1038273239780847</v>
      </c>
      <c r="G23" s="229">
        <f t="shared" si="3"/>
        <v>0.1531627104494948</v>
      </c>
      <c r="H23" s="229">
        <f t="shared" si="3"/>
        <v>0.2275711159737417</v>
      </c>
      <c r="I23" s="229">
        <f t="shared" si="3"/>
        <v>-0.01918465227817756</v>
      </c>
      <c r="J23" s="230">
        <f t="shared" si="3"/>
        <v>0.10229289308453615</v>
      </c>
    </row>
    <row r="24" spans="1:12" s="39" customFormat="1" ht="22.5" customHeight="1">
      <c r="A24" s="53"/>
      <c r="B24" s="265" t="s">
        <v>66</v>
      </c>
      <c r="C24" s="231">
        <f aca="true" t="shared" si="4" ref="C24:H24">(POWER((C20/C12),1/8)-1)</f>
        <v>0.011206098606274084</v>
      </c>
      <c r="D24" s="232">
        <f t="shared" si="4"/>
        <v>0.018068742110713742</v>
      </c>
      <c r="E24" s="232">
        <f t="shared" si="4"/>
        <v>0.0067080235287944046</v>
      </c>
      <c r="F24" s="232">
        <f t="shared" si="4"/>
        <v>0.012424491349534161</v>
      </c>
      <c r="G24" s="232">
        <f t="shared" si="4"/>
        <v>0.01797315130574284</v>
      </c>
      <c r="H24" s="232">
        <f t="shared" si="4"/>
        <v>0.025960953830066247</v>
      </c>
      <c r="I24" s="232">
        <f>(POWER((I20/I12),1/8)-1)</f>
        <v>-0.0024184540358545004</v>
      </c>
      <c r="J24" s="233">
        <f>(POWER((J20/J12),1/8)-1)</f>
        <v>0.012248462795010573</v>
      </c>
      <c r="K24"/>
      <c r="L24" s="40"/>
    </row>
    <row r="25" spans="2:10" ht="22.5" customHeight="1">
      <c r="B25" s="266" t="s">
        <v>120</v>
      </c>
      <c r="C25" s="234">
        <f aca="true" t="shared" si="5" ref="C25:J25">C20/C19-1</f>
        <v>-0.007355140896887491</v>
      </c>
      <c r="D25" s="235">
        <f t="shared" si="5"/>
        <v>0.019409949991536113</v>
      </c>
      <c r="E25" s="235">
        <f t="shared" si="5"/>
        <v>0.008784455310789197</v>
      </c>
      <c r="F25" s="235">
        <f t="shared" si="5"/>
        <v>0.03516225881489965</v>
      </c>
      <c r="G25" s="235">
        <f t="shared" si="5"/>
        <v>0.03532169230133975</v>
      </c>
      <c r="H25" s="235">
        <f t="shared" si="5"/>
        <v>-0.019230769230769273</v>
      </c>
      <c r="I25" s="235">
        <f t="shared" si="5"/>
        <v>-0.0024390243902439046</v>
      </c>
      <c r="J25" s="236">
        <f t="shared" si="5"/>
        <v>-0.0032765080029069082</v>
      </c>
    </row>
    <row r="26" spans="1:11" s="53" customFormat="1" ht="12.75">
      <c r="A26" s="28"/>
      <c r="B26"/>
      <c r="C26"/>
      <c r="D26"/>
      <c r="E26"/>
      <c r="F26"/>
      <c r="G26"/>
      <c r="H26"/>
      <c r="I26"/>
      <c r="J26"/>
      <c r="K26"/>
    </row>
    <row r="27" spans="1:10" ht="12" customHeight="1">
      <c r="A27" s="28"/>
      <c r="B27" s="408" t="s">
        <v>67</v>
      </c>
      <c r="C27" s="408"/>
      <c r="D27" s="408"/>
      <c r="E27" s="408"/>
      <c r="F27" s="408"/>
      <c r="G27" s="408"/>
      <c r="H27" s="408"/>
      <c r="I27" s="408"/>
      <c r="J27" s="408"/>
    </row>
    <row r="28" spans="1:11" s="28" customFormat="1" ht="19.5" customHeight="1">
      <c r="A28"/>
      <c r="B28" s="421" t="s">
        <v>46</v>
      </c>
      <c r="C28" s="421"/>
      <c r="D28" s="421"/>
      <c r="E28" s="421"/>
      <c r="F28" s="421"/>
      <c r="G28" s="421"/>
      <c r="H28" s="421"/>
      <c r="I28" s="421"/>
      <c r="J28" s="421"/>
      <c r="K28"/>
    </row>
    <row r="29" spans="1:11" s="28" customFormat="1" ht="19.5" customHeight="1">
      <c r="A29"/>
      <c r="B29" s="42"/>
      <c r="C29" s="419" t="s">
        <v>114</v>
      </c>
      <c r="D29" s="419" t="s">
        <v>12</v>
      </c>
      <c r="E29" s="419" t="s">
        <v>4</v>
      </c>
      <c r="F29" s="419" t="s">
        <v>115</v>
      </c>
      <c r="G29" s="419" t="s">
        <v>2</v>
      </c>
      <c r="H29" s="419" t="s">
        <v>62</v>
      </c>
      <c r="I29" s="419" t="s">
        <v>61</v>
      </c>
      <c r="J29" s="41"/>
      <c r="K29"/>
    </row>
    <row r="30" spans="1:11" s="28" customFormat="1" ht="12.75" customHeight="1">
      <c r="A30"/>
      <c r="B30" s="42"/>
      <c r="C30" s="420"/>
      <c r="D30" s="420"/>
      <c r="E30" s="420"/>
      <c r="F30" s="420"/>
      <c r="G30" s="420"/>
      <c r="H30" s="420"/>
      <c r="I30" s="420"/>
      <c r="J30" s="41"/>
      <c r="K30"/>
    </row>
    <row r="31" spans="1:12" s="28" customFormat="1" ht="12.75" customHeight="1">
      <c r="A31"/>
      <c r="B31" s="262">
        <v>1995</v>
      </c>
      <c r="C31" s="237">
        <f aca="true" t="shared" si="6" ref="C31:I44">C7/$J7*100</f>
        <v>73.07657241969927</v>
      </c>
      <c r="D31" s="238">
        <f t="shared" si="6"/>
        <v>2.2988805414588023</v>
      </c>
      <c r="E31" s="238">
        <f t="shared" si="6"/>
        <v>9.382014580658376</v>
      </c>
      <c r="F31" s="238">
        <f t="shared" si="6"/>
        <v>6.579799666979613</v>
      </c>
      <c r="G31" s="238">
        <f t="shared" si="6"/>
        <v>1.3344224325078478</v>
      </c>
      <c r="H31" s="238">
        <f t="shared" si="6"/>
        <v>6.494865225688649</v>
      </c>
      <c r="I31" s="239">
        <f t="shared" si="6"/>
        <v>0.8334451330074452</v>
      </c>
      <c r="J31" s="41"/>
      <c r="K31"/>
      <c r="L31" s="91"/>
    </row>
    <row r="32" spans="1:12" s="28" customFormat="1" ht="12.75" customHeight="1">
      <c r="A32"/>
      <c r="B32" s="92">
        <v>1996</v>
      </c>
      <c r="C32" s="240">
        <f t="shared" si="6"/>
        <v>73.0849596838212</v>
      </c>
      <c r="D32" s="176">
        <f t="shared" si="6"/>
        <v>2.285471023639037</v>
      </c>
      <c r="E32" s="176">
        <f t="shared" si="6"/>
        <v>9.295876756637622</v>
      </c>
      <c r="F32" s="176">
        <f t="shared" si="6"/>
        <v>6.440102480134902</v>
      </c>
      <c r="G32" s="176">
        <f t="shared" si="6"/>
        <v>1.3276758513208897</v>
      </c>
      <c r="H32" s="176">
        <f t="shared" si="6"/>
        <v>6.7539624361643265</v>
      </c>
      <c r="I32" s="241">
        <f t="shared" si="6"/>
        <v>0.8119517682820501</v>
      </c>
      <c r="J32" s="29"/>
      <c r="K32"/>
      <c r="L32" s="91"/>
    </row>
    <row r="33" spans="1:12" s="28" customFormat="1" ht="12.75" customHeight="1">
      <c r="A33" s="30"/>
      <c r="B33" s="92">
        <v>1997</v>
      </c>
      <c r="C33" s="240">
        <f t="shared" si="6"/>
        <v>73.08382373456828</v>
      </c>
      <c r="D33" s="176">
        <f t="shared" si="6"/>
        <v>2.2872322987806326</v>
      </c>
      <c r="E33" s="176">
        <f t="shared" si="6"/>
        <v>9.128706488014979</v>
      </c>
      <c r="F33" s="176">
        <f t="shared" si="6"/>
        <v>6.342640078463208</v>
      </c>
      <c r="G33" s="176">
        <f t="shared" si="6"/>
        <v>1.3118889447250819</v>
      </c>
      <c r="H33" s="176">
        <f t="shared" si="6"/>
        <v>7.056794966846502</v>
      </c>
      <c r="I33" s="241">
        <f t="shared" si="6"/>
        <v>0.7889134886013014</v>
      </c>
      <c r="J33" s="29"/>
      <c r="K33"/>
      <c r="L33" s="91"/>
    </row>
    <row r="34" spans="1:12" ht="12.75" customHeight="1">
      <c r="A34" s="30"/>
      <c r="B34" s="92">
        <v>1998</v>
      </c>
      <c r="C34" s="240">
        <f t="shared" si="6"/>
        <v>73.16740949798877</v>
      </c>
      <c r="D34" s="176">
        <f t="shared" si="6"/>
        <v>2.274301796647992</v>
      </c>
      <c r="E34" s="176">
        <f t="shared" si="6"/>
        <v>9.06307998587534</v>
      </c>
      <c r="F34" s="176">
        <f t="shared" si="6"/>
        <v>6.200067887532412</v>
      </c>
      <c r="G34" s="176">
        <f t="shared" si="6"/>
        <v>1.3002032730472945</v>
      </c>
      <c r="H34" s="176">
        <f t="shared" si="6"/>
        <v>7.232757048426129</v>
      </c>
      <c r="I34" s="241">
        <f t="shared" si="6"/>
        <v>0.7621805104820688</v>
      </c>
      <c r="J34" s="29"/>
      <c r="L34" s="91"/>
    </row>
    <row r="35" spans="1:12" ht="12.75" customHeight="1">
      <c r="A35" s="29"/>
      <c r="B35" s="92">
        <v>1999</v>
      </c>
      <c r="C35" s="240">
        <f t="shared" si="6"/>
        <v>73.24496852002099</v>
      </c>
      <c r="D35" s="176">
        <f t="shared" si="6"/>
        <v>2.2893293593229602</v>
      </c>
      <c r="E35" s="176">
        <f t="shared" si="6"/>
        <v>8.898126527040347</v>
      </c>
      <c r="F35" s="176">
        <f t="shared" si="6"/>
        <v>6.193996538091871</v>
      </c>
      <c r="G35" s="176">
        <f t="shared" si="6"/>
        <v>1.2968495401010345</v>
      </c>
      <c r="H35" s="176">
        <f t="shared" si="6"/>
        <v>7.340911129287184</v>
      </c>
      <c r="I35" s="241">
        <f t="shared" si="6"/>
        <v>0.7358183861356095</v>
      </c>
      <c r="J35" s="29"/>
      <c r="L35" s="91"/>
    </row>
    <row r="36" spans="1:12" ht="12.75" customHeight="1">
      <c r="A36" s="29"/>
      <c r="B36" s="92">
        <v>2000</v>
      </c>
      <c r="C36" s="240">
        <f t="shared" si="6"/>
        <v>72.98883041978175</v>
      </c>
      <c r="D36" s="176">
        <f t="shared" si="6"/>
        <v>2.273703470223364</v>
      </c>
      <c r="E36" s="176">
        <f t="shared" si="6"/>
        <v>8.75215621504227</v>
      </c>
      <c r="F36" s="176">
        <f t="shared" si="6"/>
        <v>6.26049147730219</v>
      </c>
      <c r="G36" s="176">
        <f t="shared" si="6"/>
        <v>1.3028090260816827</v>
      </c>
      <c r="H36" s="176">
        <f t="shared" si="6"/>
        <v>7.717782819223807</v>
      </c>
      <c r="I36" s="241">
        <f t="shared" si="6"/>
        <v>0.7042265723449295</v>
      </c>
      <c r="J36" s="29"/>
      <c r="L36" s="91"/>
    </row>
    <row r="37" spans="1:12" ht="12.75" customHeight="1">
      <c r="A37" s="30"/>
      <c r="B37" s="92">
        <v>2001</v>
      </c>
      <c r="C37" s="240">
        <f t="shared" si="6"/>
        <v>73.31938773939623</v>
      </c>
      <c r="D37" s="176">
        <f t="shared" si="6"/>
        <v>2.293631368390593</v>
      </c>
      <c r="E37" s="176">
        <f t="shared" si="6"/>
        <v>8.6505268881384</v>
      </c>
      <c r="F37" s="176">
        <f t="shared" si="6"/>
        <v>6.203358492515592</v>
      </c>
      <c r="G37" s="176">
        <f t="shared" si="6"/>
        <v>1.294999742938779</v>
      </c>
      <c r="H37" s="176">
        <f t="shared" si="6"/>
        <v>7.539105824616232</v>
      </c>
      <c r="I37" s="241">
        <f t="shared" si="6"/>
        <v>0.698989944004154</v>
      </c>
      <c r="J37" s="34"/>
      <c r="L37" s="91"/>
    </row>
    <row r="38" spans="1:12" ht="12.75" customHeight="1">
      <c r="A38" s="30"/>
      <c r="B38" s="92">
        <v>2002</v>
      </c>
      <c r="C38" s="240">
        <f t="shared" si="6"/>
        <v>73.83804406954957</v>
      </c>
      <c r="D38" s="176">
        <f t="shared" si="6"/>
        <v>2.275490888665541</v>
      </c>
      <c r="E38" s="176">
        <f t="shared" si="6"/>
        <v>8.55078244123371</v>
      </c>
      <c r="F38" s="176">
        <f t="shared" si="6"/>
        <v>6.024573784979529</v>
      </c>
      <c r="G38" s="176">
        <f t="shared" si="6"/>
        <v>1.2936206682387188</v>
      </c>
      <c r="H38" s="176">
        <f t="shared" si="6"/>
        <v>7.333570864466924</v>
      </c>
      <c r="I38" s="241">
        <f t="shared" si="6"/>
        <v>0.6839172828660165</v>
      </c>
      <c r="J38" s="34"/>
      <c r="L38" s="91"/>
    </row>
    <row r="39" spans="2:12" s="30" customFormat="1" ht="12.75" customHeight="1">
      <c r="B39" s="92">
        <v>2003</v>
      </c>
      <c r="C39" s="240">
        <f t="shared" si="6"/>
        <v>73.72401172693881</v>
      </c>
      <c r="D39" s="176">
        <f t="shared" si="6"/>
        <v>2.325393443968902</v>
      </c>
      <c r="E39" s="176">
        <f t="shared" si="6"/>
        <v>8.499836656762445</v>
      </c>
      <c r="F39" s="176">
        <f t="shared" si="6"/>
        <v>5.914350145020547</v>
      </c>
      <c r="G39" s="176">
        <f t="shared" si="6"/>
        <v>1.296220134971891</v>
      </c>
      <c r="H39" s="176">
        <f t="shared" si="6"/>
        <v>7.566852427909998</v>
      </c>
      <c r="I39" s="241">
        <f t="shared" si="6"/>
        <v>0.6733354644274123</v>
      </c>
      <c r="J39" s="50"/>
      <c r="K39"/>
      <c r="L39" s="91"/>
    </row>
    <row r="40" spans="1:12" s="30" customFormat="1" ht="12.75" customHeight="1">
      <c r="A40"/>
      <c r="B40" s="92">
        <v>2004</v>
      </c>
      <c r="C40" s="240">
        <f t="shared" si="6"/>
        <v>73.4080687889594</v>
      </c>
      <c r="D40" s="176">
        <f t="shared" si="6"/>
        <v>2.334380678389119</v>
      </c>
      <c r="E40" s="176">
        <f t="shared" si="6"/>
        <v>8.463662084310428</v>
      </c>
      <c r="F40" s="176">
        <f t="shared" si="6"/>
        <v>5.9082062169997105</v>
      </c>
      <c r="G40" s="176">
        <f t="shared" si="6"/>
        <v>1.316123326000695</v>
      </c>
      <c r="H40" s="176">
        <f t="shared" si="6"/>
        <v>7.9190113220861145</v>
      </c>
      <c r="I40" s="241">
        <f t="shared" si="6"/>
        <v>0.6505475832545388</v>
      </c>
      <c r="J40" s="50"/>
      <c r="K40"/>
      <c r="L40" s="91"/>
    </row>
    <row r="41" spans="1:12" s="29" customFormat="1" ht="12.75" customHeight="1">
      <c r="A41"/>
      <c r="B41" s="92">
        <v>2005</v>
      </c>
      <c r="C41" s="240">
        <f t="shared" si="6"/>
        <v>72.82543188391374</v>
      </c>
      <c r="D41" s="176">
        <f t="shared" si="6"/>
        <v>2.3697434302205744</v>
      </c>
      <c r="E41" s="176">
        <f t="shared" si="6"/>
        <v>8.433858583495654</v>
      </c>
      <c r="F41" s="176">
        <f t="shared" si="6"/>
        <v>6.015725461025653</v>
      </c>
      <c r="G41" s="176">
        <f t="shared" si="6"/>
        <v>1.3149378395409965</v>
      </c>
      <c r="H41" s="176">
        <f t="shared" si="6"/>
        <v>8.409955121889459</v>
      </c>
      <c r="I41" s="241">
        <f t="shared" si="6"/>
        <v>0.6303476799139156</v>
      </c>
      <c r="J41" s="32"/>
      <c r="K41"/>
      <c r="L41" s="91"/>
    </row>
    <row r="42" spans="1:12" s="29" customFormat="1" ht="12.75" customHeight="1">
      <c r="A42"/>
      <c r="B42" s="92">
        <v>2006</v>
      </c>
      <c r="C42" s="240">
        <f t="shared" si="6"/>
        <v>72.87160540014493</v>
      </c>
      <c r="D42" s="176">
        <f t="shared" si="6"/>
        <v>2.370158021568896</v>
      </c>
      <c r="E42" s="176">
        <f t="shared" si="6"/>
        <v>8.219773447540836</v>
      </c>
      <c r="F42" s="176">
        <f t="shared" si="6"/>
        <v>6.055800387422347</v>
      </c>
      <c r="G42" s="176">
        <f t="shared" si="6"/>
        <v>1.3104851649102518</v>
      </c>
      <c r="H42" s="176">
        <f t="shared" si="6"/>
        <v>8.549279270880463</v>
      </c>
      <c r="I42" s="241">
        <f t="shared" si="6"/>
        <v>0.6228983075322742</v>
      </c>
      <c r="J42" s="32"/>
      <c r="K42"/>
      <c r="L42" s="91"/>
    </row>
    <row r="43" spans="2:12" ht="15" customHeight="1">
      <c r="B43" s="92">
        <v>2007</v>
      </c>
      <c r="C43" s="240">
        <f t="shared" si="6"/>
        <v>72.68714906636535</v>
      </c>
      <c r="D43" s="176">
        <f t="shared" si="6"/>
        <v>2.3274452363898157</v>
      </c>
      <c r="E43" s="176">
        <f t="shared" si="6"/>
        <v>8.276040477382075</v>
      </c>
      <c r="F43" s="176">
        <f t="shared" si="6"/>
        <v>6.036411341469416</v>
      </c>
      <c r="G43" s="176">
        <f t="shared" si="6"/>
        <v>1.3121205052105482</v>
      </c>
      <c r="H43" s="176">
        <f t="shared" si="6"/>
        <v>8.734741744633864</v>
      </c>
      <c r="I43" s="241">
        <f t="shared" si="6"/>
        <v>0.6260916285489306</v>
      </c>
      <c r="J43" s="245"/>
      <c r="L43" s="29"/>
    </row>
    <row r="44" spans="2:12" ht="15" customHeight="1">
      <c r="B44" s="263">
        <v>2008</v>
      </c>
      <c r="C44" s="242">
        <f t="shared" si="6"/>
        <v>72.38971030874389</v>
      </c>
      <c r="D44" s="243">
        <f t="shared" si="6"/>
        <v>2.3804202981934943</v>
      </c>
      <c r="E44" s="243">
        <f t="shared" si="6"/>
        <v>8.376185624337898</v>
      </c>
      <c r="F44" s="243">
        <f t="shared" si="6"/>
        <v>6.269206303998284</v>
      </c>
      <c r="G44" s="243">
        <f t="shared" si="6"/>
        <v>1.3629324811397499</v>
      </c>
      <c r="H44" s="243">
        <f t="shared" si="6"/>
        <v>8.594927289902209</v>
      </c>
      <c r="I44" s="244">
        <f t="shared" si="6"/>
        <v>0.6266176936844926</v>
      </c>
      <c r="J44" s="245"/>
      <c r="L44" s="29"/>
    </row>
    <row r="45" spans="2:12" ht="15" customHeight="1">
      <c r="B45" s="54" t="s">
        <v>128</v>
      </c>
      <c r="C45" s="246"/>
      <c r="D45" s="247"/>
      <c r="E45" s="247"/>
      <c r="F45" s="247"/>
      <c r="G45" s="247"/>
      <c r="H45" s="247"/>
      <c r="I45" s="247"/>
      <c r="J45" s="29"/>
      <c r="L45" s="29"/>
    </row>
    <row r="46" spans="2:12" ht="12.75" customHeight="1">
      <c r="B46" s="337" t="s">
        <v>8</v>
      </c>
      <c r="C46" s="247"/>
      <c r="D46" s="245"/>
      <c r="E46" s="245"/>
      <c r="F46" s="245"/>
      <c r="G46" s="245"/>
      <c r="H46" s="245"/>
      <c r="I46" s="245"/>
      <c r="J46" s="29"/>
      <c r="L46" s="29"/>
    </row>
    <row r="47" spans="2:10" ht="12.75" customHeight="1">
      <c r="B47" s="338" t="s">
        <v>126</v>
      </c>
      <c r="C47" s="245"/>
      <c r="D47" s="29"/>
      <c r="E47" s="29"/>
      <c r="F47" s="29"/>
      <c r="G47" s="29"/>
      <c r="H47" s="29"/>
      <c r="I47" s="29"/>
      <c r="J47" s="29"/>
    </row>
    <row r="48" spans="2:3" ht="12.75" customHeight="1">
      <c r="B48" s="56" t="s">
        <v>127</v>
      </c>
      <c r="C48" s="29"/>
    </row>
    <row r="49" ht="11.25" customHeight="1">
      <c r="B49" s="12"/>
    </row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mergeCells count="20">
    <mergeCell ref="F5:F6"/>
    <mergeCell ref="B28:J28"/>
    <mergeCell ref="C29:C30"/>
    <mergeCell ref="D29:D30"/>
    <mergeCell ref="E29:E30"/>
    <mergeCell ref="B27:J27"/>
    <mergeCell ref="F29:F30"/>
    <mergeCell ref="G29:G30"/>
    <mergeCell ref="H29:H30"/>
    <mergeCell ref="I29:I30"/>
    <mergeCell ref="B2:J2"/>
    <mergeCell ref="B3:J3"/>
    <mergeCell ref="B4:J4"/>
    <mergeCell ref="H5:H6"/>
    <mergeCell ref="J5:J6"/>
    <mergeCell ref="E5:E6"/>
    <mergeCell ref="G5:G6"/>
    <mergeCell ref="I5:I6"/>
    <mergeCell ref="D5:D6"/>
    <mergeCell ref="C5:C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1:G49"/>
  <sheetViews>
    <sheetView workbookViewId="0" topLeftCell="A21">
      <selection activeCell="A49" sqref="A49:IV49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6" width="10.7109375" style="0" customWidth="1"/>
    <col min="7" max="7" width="4.00390625" style="0" customWidth="1"/>
    <col min="12" max="25" width="6.7109375" style="0" customWidth="1"/>
  </cols>
  <sheetData>
    <row r="1" spans="2:7" ht="15.75">
      <c r="B1" s="55"/>
      <c r="C1" s="43"/>
      <c r="D1" s="43"/>
      <c r="E1" s="43"/>
      <c r="G1" s="35" t="s">
        <v>51</v>
      </c>
    </row>
    <row r="2" spans="2:7" ht="12.75">
      <c r="B2" s="417" t="s">
        <v>116</v>
      </c>
      <c r="C2" s="417"/>
      <c r="D2" s="417"/>
      <c r="E2" s="417"/>
      <c r="F2" s="417"/>
      <c r="G2" s="417"/>
    </row>
    <row r="3" spans="2:7" ht="19.5" customHeight="1">
      <c r="B3" s="417"/>
      <c r="C3" s="417"/>
      <c r="D3" s="417"/>
      <c r="E3" s="417"/>
      <c r="F3" s="417"/>
      <c r="G3" s="417"/>
    </row>
    <row r="4" spans="2:7" ht="12.75">
      <c r="B4" s="422">
        <v>2007</v>
      </c>
      <c r="C4" s="422"/>
      <c r="D4" s="422"/>
      <c r="E4" s="422"/>
      <c r="F4" s="422"/>
      <c r="G4" s="422"/>
    </row>
    <row r="5" spans="2:6" ht="12.75">
      <c r="B5" s="423" t="s">
        <v>5</v>
      </c>
      <c r="C5" s="423"/>
      <c r="D5" s="423"/>
      <c r="E5" s="423"/>
      <c r="F5" s="423"/>
    </row>
    <row r="6" spans="2:7" ht="28.5" customHeight="1">
      <c r="B6" s="16"/>
      <c r="C6" s="261" t="s">
        <v>57</v>
      </c>
      <c r="D6" s="261" t="s">
        <v>6</v>
      </c>
      <c r="E6" s="261" t="s">
        <v>59</v>
      </c>
      <c r="F6" s="261" t="s">
        <v>2</v>
      </c>
      <c r="G6" s="57"/>
    </row>
    <row r="7" spans="2:7" ht="12.75">
      <c r="B7" s="125" t="s">
        <v>79</v>
      </c>
      <c r="C7" s="267">
        <v>81.890633133978</v>
      </c>
      <c r="D7" s="267">
        <v>9.475533761624991</v>
      </c>
      <c r="E7" s="267">
        <v>7.092020002460679</v>
      </c>
      <c r="F7" s="268">
        <v>1.5418131019363424</v>
      </c>
      <c r="G7" s="125" t="s">
        <v>79</v>
      </c>
    </row>
    <row r="8" spans="2:7" ht="12.75">
      <c r="B8" s="126" t="s">
        <v>32</v>
      </c>
      <c r="C8" s="269">
        <v>82.6399163965111</v>
      </c>
      <c r="D8" s="269">
        <v>8.798357585989395</v>
      </c>
      <c r="E8" s="269">
        <v>7.257319830090761</v>
      </c>
      <c r="F8" s="270">
        <v>1.3044061874087551</v>
      </c>
      <c r="G8" s="126" t="s">
        <v>32</v>
      </c>
    </row>
    <row r="9" spans="2:7" ht="12.75">
      <c r="B9" s="127" t="s">
        <v>92</v>
      </c>
      <c r="C9" s="271">
        <v>77.303397428702</v>
      </c>
      <c r="D9" s="271">
        <v>13.621317988989373</v>
      </c>
      <c r="E9" s="271">
        <v>6.080027196406002</v>
      </c>
      <c r="F9" s="272">
        <v>2.9952573859026392</v>
      </c>
      <c r="G9" s="127" t="s">
        <v>92</v>
      </c>
    </row>
    <row r="10" spans="2:7" ht="12.75">
      <c r="B10" s="19" t="s">
        <v>33</v>
      </c>
      <c r="C10" s="339">
        <v>77.73019422035003</v>
      </c>
      <c r="D10" s="339">
        <v>14.277403573205863</v>
      </c>
      <c r="E10" s="339">
        <v>7.291498741878281</v>
      </c>
      <c r="F10" s="340">
        <v>0.7009034645658253</v>
      </c>
      <c r="G10" s="19" t="s">
        <v>33</v>
      </c>
    </row>
    <row r="11" spans="2:7" ht="12.75">
      <c r="B11" s="126" t="s">
        <v>15</v>
      </c>
      <c r="C11" s="273">
        <v>72.16839291680589</v>
      </c>
      <c r="D11" s="273">
        <v>23.11894420314066</v>
      </c>
      <c r="E11" s="273">
        <v>3.900768459739392</v>
      </c>
      <c r="F11" s="274">
        <v>0.8118944203140662</v>
      </c>
      <c r="G11" s="126" t="s">
        <v>15</v>
      </c>
    </row>
    <row r="12" spans="2:7" ht="12.75">
      <c r="B12" s="20" t="s">
        <v>17</v>
      </c>
      <c r="C12" s="341">
        <v>69.3199405445992</v>
      </c>
      <c r="D12" s="341">
        <v>15.40812378369267</v>
      </c>
      <c r="E12" s="341">
        <v>6.515672167823595</v>
      </c>
      <c r="F12" s="342">
        <v>8.756263503884524</v>
      </c>
      <c r="G12" s="20" t="s">
        <v>17</v>
      </c>
    </row>
    <row r="13" spans="2:7" ht="12.75">
      <c r="B13" s="126" t="s">
        <v>28</v>
      </c>
      <c r="C13" s="275">
        <v>79.29498237455937</v>
      </c>
      <c r="D13" s="275">
        <v>10.993774844371108</v>
      </c>
      <c r="E13" s="275">
        <v>9.418735468386709</v>
      </c>
      <c r="F13" s="276">
        <v>0.29250731268281704</v>
      </c>
      <c r="G13" s="126" t="s">
        <v>28</v>
      </c>
    </row>
    <row r="14" spans="2:7" ht="12.75">
      <c r="B14" s="20" t="s">
        <v>34</v>
      </c>
      <c r="C14" s="341">
        <v>84.07246469738145</v>
      </c>
      <c r="D14" s="341">
        <v>6.265937350491005</v>
      </c>
      <c r="E14" s="341">
        <v>8.064928211021618</v>
      </c>
      <c r="F14" s="342">
        <v>1.59666974110591</v>
      </c>
      <c r="G14" s="20" t="s">
        <v>34</v>
      </c>
    </row>
    <row r="15" spans="2:7" ht="12.75">
      <c r="B15" s="126" t="s">
        <v>18</v>
      </c>
      <c r="C15" s="273">
        <v>78.93176011059467</v>
      </c>
      <c r="D15" s="273">
        <v>18.439962623932256</v>
      </c>
      <c r="E15" s="273">
        <v>2.057713399530769</v>
      </c>
      <c r="F15" s="274">
        <v>0.5705638659422986</v>
      </c>
      <c r="G15" s="126" t="s">
        <v>18</v>
      </c>
    </row>
    <row r="16" spans="2:7" ht="12.75">
      <c r="B16" s="20" t="s">
        <v>37</v>
      </c>
      <c r="C16" s="339">
        <v>83.60188926969838</v>
      </c>
      <c r="D16" s="339">
        <v>12.788377922144356</v>
      </c>
      <c r="E16" s="339">
        <v>3.3693113032209663</v>
      </c>
      <c r="F16" s="340">
        <v>0.2404215049363139</v>
      </c>
      <c r="G16" s="20" t="s">
        <v>37</v>
      </c>
    </row>
    <row r="17" spans="2:7" ht="12.75">
      <c r="B17" s="126" t="s">
        <v>29</v>
      </c>
      <c r="C17" s="273">
        <v>79.73400735147548</v>
      </c>
      <c r="D17" s="273">
        <v>17.621215624676083</v>
      </c>
      <c r="E17" s="273">
        <v>1.3211925018139488</v>
      </c>
      <c r="F17" s="274">
        <v>1.3235845220344928</v>
      </c>
      <c r="G17" s="126" t="s">
        <v>29</v>
      </c>
    </row>
    <row r="18" spans="2:7" ht="12.75">
      <c r="B18" s="20" t="s">
        <v>35</v>
      </c>
      <c r="C18" s="339">
        <v>78.7745459022601</v>
      </c>
      <c r="D18" s="339">
        <v>14.147360204799881</v>
      </c>
      <c r="E18" s="339">
        <v>5.568112918700301</v>
      </c>
      <c r="F18" s="340">
        <v>1.5099809742397245</v>
      </c>
      <c r="G18" s="20" t="s">
        <v>35</v>
      </c>
    </row>
    <row r="19" spans="2:7" ht="12.75">
      <c r="B19" s="126" t="s">
        <v>36</v>
      </c>
      <c r="C19" s="275">
        <v>83.06321206710817</v>
      </c>
      <c r="D19" s="275">
        <v>5.599999077297126</v>
      </c>
      <c r="E19" s="275">
        <v>9.799911881875579</v>
      </c>
      <c r="F19" s="276">
        <v>1.5368769737191155</v>
      </c>
      <c r="G19" s="126" t="s">
        <v>36</v>
      </c>
    </row>
    <row r="20" spans="2:7" ht="12.75">
      <c r="B20" s="20" t="s">
        <v>38</v>
      </c>
      <c r="C20" s="341">
        <v>81.79221337237522</v>
      </c>
      <c r="D20" s="341">
        <v>11.811685056590647</v>
      </c>
      <c r="E20" s="341">
        <v>5.660201491578752</v>
      </c>
      <c r="F20" s="342">
        <v>0.7359000794553839</v>
      </c>
      <c r="G20" s="20" t="s">
        <v>38</v>
      </c>
    </row>
    <row r="21" spans="2:7" ht="12.75">
      <c r="B21" s="126" t="s">
        <v>16</v>
      </c>
      <c r="C21" s="273">
        <v>81.21468926553672</v>
      </c>
      <c r="D21" s="273">
        <v>18.78531073446328</v>
      </c>
      <c r="E21" s="333" t="s">
        <v>47</v>
      </c>
      <c r="F21" s="334" t="s">
        <v>47</v>
      </c>
      <c r="G21" s="126" t="s">
        <v>16</v>
      </c>
    </row>
    <row r="22" spans="2:7" ht="12.75">
      <c r="B22" s="20" t="s">
        <v>20</v>
      </c>
      <c r="C22" s="339">
        <v>82.14028594483071</v>
      </c>
      <c r="D22" s="339">
        <v>12.016640655576118</v>
      </c>
      <c r="E22" s="339">
        <v>4.595024231384354</v>
      </c>
      <c r="F22" s="340">
        <v>1.2480491682088102</v>
      </c>
      <c r="G22" s="20" t="s">
        <v>20</v>
      </c>
    </row>
    <row r="23" spans="2:7" ht="12.75">
      <c r="B23" s="126" t="s">
        <v>21</v>
      </c>
      <c r="C23" s="275">
        <v>90.86735279488846</v>
      </c>
      <c r="D23" s="275">
        <v>8.180931246891381</v>
      </c>
      <c r="E23" s="275">
        <v>0.9517159582201477</v>
      </c>
      <c r="F23" s="335" t="s">
        <v>47</v>
      </c>
      <c r="G23" s="126" t="s">
        <v>21</v>
      </c>
    </row>
    <row r="24" spans="2:7" ht="12.75">
      <c r="B24" s="20" t="s">
        <v>39</v>
      </c>
      <c r="C24" s="339">
        <v>84.2237586423633</v>
      </c>
      <c r="D24" s="339">
        <v>11.439346323067253</v>
      </c>
      <c r="E24" s="339">
        <v>4.336895034569452</v>
      </c>
      <c r="F24" s="343" t="s">
        <v>47</v>
      </c>
      <c r="G24" s="20" t="s">
        <v>39</v>
      </c>
    </row>
    <row r="25" spans="2:7" ht="12.75">
      <c r="B25" s="126" t="s">
        <v>19</v>
      </c>
      <c r="C25" s="275">
        <v>59.75925557041633</v>
      </c>
      <c r="D25" s="275">
        <v>25.118807091431663</v>
      </c>
      <c r="E25" s="275">
        <v>11.799607296320538</v>
      </c>
      <c r="F25" s="276">
        <v>3.322330041831479</v>
      </c>
      <c r="G25" s="126" t="s">
        <v>19</v>
      </c>
    </row>
    <row r="26" spans="2:7" ht="12.75">
      <c r="B26" s="20" t="s">
        <v>22</v>
      </c>
      <c r="C26" s="339">
        <v>80.82706766917292</v>
      </c>
      <c r="D26" s="339">
        <v>19.172932330827066</v>
      </c>
      <c r="E26" s="344" t="s">
        <v>47</v>
      </c>
      <c r="F26" s="343" t="s">
        <v>47</v>
      </c>
      <c r="G26" s="20" t="s">
        <v>22</v>
      </c>
    </row>
    <row r="27" spans="2:7" ht="12.75">
      <c r="B27" s="126" t="s">
        <v>30</v>
      </c>
      <c r="C27" s="273">
        <v>83.02739339169726</v>
      </c>
      <c r="D27" s="273">
        <v>7.060152499293984</v>
      </c>
      <c r="E27" s="273">
        <v>9.0369951990963</v>
      </c>
      <c r="F27" s="274">
        <v>0.875458909912454</v>
      </c>
      <c r="G27" s="126" t="s">
        <v>30</v>
      </c>
    </row>
    <row r="28" spans="2:7" ht="12.75">
      <c r="B28" s="20" t="s">
        <v>40</v>
      </c>
      <c r="C28" s="341">
        <v>75.06043100622747</v>
      </c>
      <c r="D28" s="341">
        <v>9.782653228449687</v>
      </c>
      <c r="E28" s="341">
        <v>11.099844313339888</v>
      </c>
      <c r="F28" s="342">
        <v>4.0570714519829565</v>
      </c>
      <c r="G28" s="20" t="s">
        <v>40</v>
      </c>
    </row>
    <row r="29" spans="2:7" ht="12.75">
      <c r="B29" s="126" t="s">
        <v>23</v>
      </c>
      <c r="C29" s="273">
        <v>84.13166128193272</v>
      </c>
      <c r="D29" s="273">
        <v>8.241211471313564</v>
      </c>
      <c r="E29" s="273">
        <v>6.2121157590137</v>
      </c>
      <c r="F29" s="274">
        <v>1.415011487740002</v>
      </c>
      <c r="G29" s="126" t="s">
        <v>23</v>
      </c>
    </row>
    <row r="30" spans="2:7" ht="12.75">
      <c r="B30" s="20" t="s">
        <v>41</v>
      </c>
      <c r="C30" s="339">
        <v>84.27149054501481</v>
      </c>
      <c r="D30" s="339">
        <v>10.587211398356459</v>
      </c>
      <c r="E30" s="339">
        <v>4.080871145587901</v>
      </c>
      <c r="F30" s="340">
        <v>1.0604269110408158</v>
      </c>
      <c r="G30" s="20" t="s">
        <v>41</v>
      </c>
    </row>
    <row r="31" spans="2:7" ht="12.75">
      <c r="B31" s="126" t="s">
        <v>24</v>
      </c>
      <c r="C31" s="273">
        <v>71.75061318786449</v>
      </c>
      <c r="D31" s="273">
        <v>14.126220014858996</v>
      </c>
      <c r="E31" s="273">
        <v>6.998992438197788</v>
      </c>
      <c r="F31" s="274">
        <v>7.124174359078743</v>
      </c>
      <c r="G31" s="126" t="s">
        <v>24</v>
      </c>
    </row>
    <row r="32" spans="2:7" ht="12.75">
      <c r="B32" s="20" t="s">
        <v>26</v>
      </c>
      <c r="C32" s="341">
        <v>86.20833044563032</v>
      </c>
      <c r="D32" s="341">
        <v>10.901656386443968</v>
      </c>
      <c r="E32" s="341">
        <v>2.890013167925705</v>
      </c>
      <c r="F32" s="345" t="s">
        <v>47</v>
      </c>
      <c r="G32" s="20" t="s">
        <v>26</v>
      </c>
    </row>
    <row r="33" spans="2:7" ht="12.75">
      <c r="B33" s="126" t="s">
        <v>25</v>
      </c>
      <c r="C33" s="275">
        <v>69.81274188680193</v>
      </c>
      <c r="D33" s="275">
        <v>23.14307601854582</v>
      </c>
      <c r="E33" s="275">
        <v>6.072743147266422</v>
      </c>
      <c r="F33" s="276">
        <v>0.9714389473858276</v>
      </c>
      <c r="G33" s="126" t="s">
        <v>25</v>
      </c>
    </row>
    <row r="34" spans="2:7" ht="12.75">
      <c r="B34" s="20" t="s">
        <v>42</v>
      </c>
      <c r="C34" s="341">
        <v>83.94682485037869</v>
      </c>
      <c r="D34" s="341">
        <v>9.983581378104974</v>
      </c>
      <c r="E34" s="341">
        <v>5.365181928923255</v>
      </c>
      <c r="F34" s="342">
        <v>0.704411842593083</v>
      </c>
      <c r="G34" s="20" t="s">
        <v>42</v>
      </c>
    </row>
    <row r="35" spans="2:7" ht="12.75">
      <c r="B35" s="126" t="s">
        <v>43</v>
      </c>
      <c r="C35" s="275">
        <v>81.72141220233154</v>
      </c>
      <c r="D35" s="275">
        <v>7.271912052874556</v>
      </c>
      <c r="E35" s="275">
        <v>9.147597064000797</v>
      </c>
      <c r="F35" s="276">
        <v>1.859078680793118</v>
      </c>
      <c r="G35" s="126" t="s">
        <v>43</v>
      </c>
    </row>
    <row r="36" spans="2:7" ht="12.75">
      <c r="B36" s="20" t="s">
        <v>31</v>
      </c>
      <c r="C36" s="341">
        <v>85.56896430047686</v>
      </c>
      <c r="D36" s="341">
        <v>6.55314601417496</v>
      </c>
      <c r="E36" s="341">
        <v>6.638210890320499</v>
      </c>
      <c r="F36" s="342">
        <v>1.2396787950276746</v>
      </c>
      <c r="G36" s="20" t="s">
        <v>31</v>
      </c>
    </row>
    <row r="37" spans="2:7" ht="12.75">
      <c r="B37" s="125" t="s">
        <v>50</v>
      </c>
      <c r="C37" s="277">
        <v>80.53188506381987</v>
      </c>
      <c r="D37" s="277">
        <v>12.209495765111516</v>
      </c>
      <c r="E37" s="277">
        <v>5.3986189616857025</v>
      </c>
      <c r="F37" s="278">
        <v>1.8600002093829011</v>
      </c>
      <c r="G37" s="125" t="s">
        <v>50</v>
      </c>
    </row>
    <row r="38" spans="2:7" ht="12.75">
      <c r="B38" s="20" t="s">
        <v>9</v>
      </c>
      <c r="C38" s="339">
        <v>78.28401440425866</v>
      </c>
      <c r="D38" s="339">
        <v>19.398778769375298</v>
      </c>
      <c r="E38" s="339">
        <v>2.317206826366056</v>
      </c>
      <c r="F38" s="343" t="s">
        <v>47</v>
      </c>
      <c r="G38" s="20" t="s">
        <v>9</v>
      </c>
    </row>
    <row r="39" spans="2:7" ht="12.75">
      <c r="B39" s="127" t="s">
        <v>27</v>
      </c>
      <c r="C39" s="279"/>
      <c r="D39" s="279"/>
      <c r="E39" s="279"/>
      <c r="F39" s="280"/>
      <c r="G39" s="127" t="s">
        <v>27</v>
      </c>
    </row>
    <row r="40" spans="2:7" ht="12.75">
      <c r="B40" s="19" t="s">
        <v>13</v>
      </c>
      <c r="C40" s="346">
        <v>88.59986033519553</v>
      </c>
      <c r="D40" s="346">
        <v>11.40013966480447</v>
      </c>
      <c r="E40" s="347" t="s">
        <v>47</v>
      </c>
      <c r="F40" s="348" t="s">
        <v>47</v>
      </c>
      <c r="G40" s="19" t="s">
        <v>13</v>
      </c>
    </row>
    <row r="41" spans="2:7" ht="12.75">
      <c r="B41" s="126" t="s">
        <v>44</v>
      </c>
      <c r="C41" s="275">
        <v>87.71848389781675</v>
      </c>
      <c r="D41" s="275">
        <v>6.788206671361803</v>
      </c>
      <c r="E41" s="275">
        <v>4.657788590818875</v>
      </c>
      <c r="F41" s="276">
        <v>0.8355208400025611</v>
      </c>
      <c r="G41" s="126" t="s">
        <v>44</v>
      </c>
    </row>
    <row r="42" spans="2:7" ht="12.75">
      <c r="B42" s="21" t="s">
        <v>14</v>
      </c>
      <c r="C42" s="349">
        <v>78.28227716711467</v>
      </c>
      <c r="D42" s="349">
        <v>5.32297128256993</v>
      </c>
      <c r="E42" s="349">
        <v>15.081751967281468</v>
      </c>
      <c r="F42" s="350">
        <v>1.312999583033916</v>
      </c>
      <c r="G42" s="21" t="s">
        <v>14</v>
      </c>
    </row>
    <row r="44" spans="2:7" ht="12.75">
      <c r="B44" s="336" t="s">
        <v>65</v>
      </c>
      <c r="C44" s="351"/>
      <c r="D44" s="247"/>
      <c r="E44" s="247"/>
      <c r="F44" s="247"/>
      <c r="G44" s="146"/>
    </row>
    <row r="45" spans="2:7" ht="35.25" customHeight="1">
      <c r="B45" s="424" t="s">
        <v>129</v>
      </c>
      <c r="C45" s="424"/>
      <c r="D45" s="424"/>
      <c r="E45" s="424"/>
      <c r="F45" s="424"/>
      <c r="G45" s="248"/>
    </row>
    <row r="46" spans="2:7" ht="12.75">
      <c r="B46" s="281" t="s">
        <v>79</v>
      </c>
      <c r="C46" s="249">
        <v>79.7432720083806</v>
      </c>
      <c r="D46" s="249">
        <v>9.227063429118102</v>
      </c>
      <c r="E46" s="249">
        <v>6.906050893755323</v>
      </c>
      <c r="F46" s="249">
        <v>1.501383209147284</v>
      </c>
      <c r="G46" s="281" t="s">
        <v>79</v>
      </c>
    </row>
    <row r="47" spans="2:7" ht="12.75">
      <c r="B47" s="126" t="s">
        <v>32</v>
      </c>
      <c r="C47" s="250">
        <v>80.3658423179786</v>
      </c>
      <c r="D47" s="250">
        <v>8.556245568063842</v>
      </c>
      <c r="E47" s="250">
        <v>7.057613881381378</v>
      </c>
      <c r="F47" s="250">
        <v>1.2685117137934734</v>
      </c>
      <c r="G47" s="126" t="s">
        <v>32</v>
      </c>
    </row>
    <row r="48" spans="2:7" ht="12.75">
      <c r="B48" s="127" t="s">
        <v>92</v>
      </c>
      <c r="C48" s="251">
        <v>75.8953320892503</v>
      </c>
      <c r="D48" s="251">
        <v>13.37320850899355</v>
      </c>
      <c r="E48" s="251">
        <v>5.969280762963941</v>
      </c>
      <c r="F48" s="251">
        <v>2.940699394299281</v>
      </c>
      <c r="G48" s="127" t="s">
        <v>92</v>
      </c>
    </row>
    <row r="49" spans="2:7" ht="15" customHeight="1">
      <c r="B49" s="336" t="s">
        <v>130</v>
      </c>
      <c r="C49" s="259"/>
      <c r="D49" s="259"/>
      <c r="E49" s="259"/>
      <c r="G49" s="146"/>
    </row>
  </sheetData>
  <mergeCells count="4">
    <mergeCell ref="B2:G3"/>
    <mergeCell ref="B4:G4"/>
    <mergeCell ref="B5:F5"/>
    <mergeCell ref="B45:F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/>
  <dimension ref="A1:AA49"/>
  <sheetViews>
    <sheetView workbookViewId="0" topLeftCell="A1">
      <selection activeCell="AC16" sqref="AC16"/>
    </sheetView>
  </sheetViews>
  <sheetFormatPr defaultColWidth="9.140625" defaultRowHeight="12.75"/>
  <cols>
    <col min="1" max="1" width="2.7109375" style="46" customWidth="1"/>
    <col min="2" max="2" width="4.00390625" style="3" customWidth="1"/>
    <col min="3" max="4" width="7.7109375" style="3" hidden="1" customWidth="1"/>
    <col min="5" max="5" width="6.7109375" style="3" customWidth="1"/>
    <col min="6" max="9" width="7.7109375" style="3" hidden="1" customWidth="1"/>
    <col min="10" max="10" width="6.7109375" style="3" customWidth="1"/>
    <col min="11" max="14" width="7.7109375" style="3" hidden="1" customWidth="1"/>
    <col min="15" max="15" width="6.7109375" style="3" customWidth="1"/>
    <col min="16" max="23" width="7.7109375" style="3" customWidth="1"/>
    <col min="24" max="24" width="6.28125" style="3" customWidth="1"/>
    <col min="25" max="25" width="4.00390625" style="3" customWidth="1"/>
    <col min="26" max="26" width="2.7109375" style="3" customWidth="1"/>
    <col min="27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T1" s="44"/>
      <c r="U1" s="44"/>
      <c r="V1" s="44"/>
      <c r="W1" s="44"/>
      <c r="Y1" s="44" t="s">
        <v>52</v>
      </c>
    </row>
    <row r="2" spans="1:25" s="75" customFormat="1" ht="30" customHeight="1">
      <c r="A2" s="124"/>
      <c r="B2" s="425" t="s">
        <v>57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</row>
    <row r="3" spans="3:24" ht="12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W3" s="25" t="s">
        <v>7</v>
      </c>
      <c r="X3" s="6"/>
    </row>
    <row r="4" spans="2:25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4"/>
    </row>
    <row r="5" spans="2:25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4"/>
    </row>
    <row r="6" spans="2:27" ht="12.75" customHeight="1">
      <c r="B6" s="125" t="s">
        <v>79</v>
      </c>
      <c r="C6" s="194"/>
      <c r="D6" s="194"/>
      <c r="E6" s="195"/>
      <c r="F6" s="196"/>
      <c r="G6" s="196"/>
      <c r="H6" s="196"/>
      <c r="I6" s="196"/>
      <c r="J6" s="196">
        <f>SUM(J9:J35)</f>
        <v>3892.9974954999993</v>
      </c>
      <c r="K6" s="196">
        <f>SUM(K9:K35)</f>
        <v>3960.5039999999995</v>
      </c>
      <c r="L6" s="196">
        <f aca="true" t="shared" si="0" ref="L6:T6">SUM(L9:L35)</f>
        <v>4039.042</v>
      </c>
      <c r="M6" s="196">
        <f t="shared" si="0"/>
        <v>4137.4914551</v>
      </c>
      <c r="N6" s="196">
        <f t="shared" si="0"/>
        <v>4240.497000000001</v>
      </c>
      <c r="O6" s="196">
        <f t="shared" si="0"/>
        <v>4321.9531157</v>
      </c>
      <c r="P6" s="196">
        <f t="shared" si="0"/>
        <v>4405.5201529999995</v>
      </c>
      <c r="Q6" s="196">
        <f t="shared" si="0"/>
        <v>4480.481639600001</v>
      </c>
      <c r="R6" s="196">
        <f t="shared" si="0"/>
        <v>4511.019311500001</v>
      </c>
      <c r="S6" s="196">
        <f t="shared" si="0"/>
        <v>4570.037399999999</v>
      </c>
      <c r="T6" s="196">
        <f t="shared" si="0"/>
        <v>4563.5205000000005</v>
      </c>
      <c r="U6" s="196">
        <f>SUM(U9:U35)</f>
        <v>4679.5186</v>
      </c>
      <c r="V6" s="196">
        <f>SUM(V9:V35)</f>
        <v>4759.9632</v>
      </c>
      <c r="W6" s="196">
        <f>SUM(W9:W35)</f>
        <v>4724.953</v>
      </c>
      <c r="X6" s="291">
        <f>(W6/V6-1)*100</f>
        <v>-0.7355140896887491</v>
      </c>
      <c r="Y6" s="125" t="s">
        <v>79</v>
      </c>
      <c r="AA6" s="98"/>
    </row>
    <row r="7" spans="1:27" ht="12.75" customHeight="1">
      <c r="A7" s="18"/>
      <c r="B7" s="126" t="s">
        <v>32</v>
      </c>
      <c r="C7" s="197">
        <f aca="true" t="shared" si="1" ref="C7:J7">SUM(C9,C12:C13,C15:C19,C23,C26:C27,C29,C33:C35)</f>
        <v>1557.1409999999998</v>
      </c>
      <c r="D7" s="197">
        <f t="shared" si="1"/>
        <v>2238.496</v>
      </c>
      <c r="E7" s="198">
        <f t="shared" si="1"/>
        <v>3129.1459999999997</v>
      </c>
      <c r="F7" s="199">
        <f t="shared" si="1"/>
        <v>3190.822</v>
      </c>
      <c r="G7" s="199">
        <f t="shared" si="1"/>
        <v>3313.5370000000003</v>
      </c>
      <c r="H7" s="199">
        <f t="shared" si="1"/>
        <v>3342.0919999999996</v>
      </c>
      <c r="I7" s="199">
        <f t="shared" si="1"/>
        <v>3484.6209999999996</v>
      </c>
      <c r="J7" s="199">
        <f t="shared" si="1"/>
        <v>3549.339</v>
      </c>
      <c r="K7" s="199">
        <f>SUM(K9,K12:K13,K15:K19,K23,K26:K27,K29,K33:K35)</f>
        <v>3595.897</v>
      </c>
      <c r="L7" s="199">
        <f aca="true" t="shared" si="2" ref="L7:T7">SUM(L9,L12:L13,L15:L19,L23,L26:L27,L29,L33:L35)</f>
        <v>3655.323</v>
      </c>
      <c r="M7" s="199">
        <f t="shared" si="2"/>
        <v>3736.981</v>
      </c>
      <c r="N7" s="199">
        <f t="shared" si="2"/>
        <v>3824.952</v>
      </c>
      <c r="O7" s="199">
        <f t="shared" si="2"/>
        <v>3890.0969999999993</v>
      </c>
      <c r="P7" s="199">
        <f t="shared" si="2"/>
        <v>3962.304</v>
      </c>
      <c r="Q7" s="199">
        <f t="shared" si="2"/>
        <v>4020.417</v>
      </c>
      <c r="R7" s="199">
        <f t="shared" si="2"/>
        <v>4035.9310000000005</v>
      </c>
      <c r="S7" s="199">
        <f t="shared" si="2"/>
        <v>4079.474</v>
      </c>
      <c r="T7" s="199">
        <f t="shared" si="2"/>
        <v>4042.914</v>
      </c>
      <c r="U7" s="199">
        <f>SUM(U9,U12:U13,U15:U19,U23,U26:U27,U29,U33:U35)</f>
        <v>4122.263</v>
      </c>
      <c r="V7" s="199">
        <f>SUM(V9,V12:V13,V15:V19,V23,V26:V27,V29,V33:V35)</f>
        <v>4177.039000000001</v>
      </c>
      <c r="W7" s="199">
        <f>SUM(W9,W12:W13,W15:W19,W23,W26:W27,W29,W33:W35)</f>
        <v>4098.700000000001</v>
      </c>
      <c r="X7" s="292">
        <f aca="true" t="shared" si="3" ref="X7:X41">(W7/V7-1)*100</f>
        <v>-1.8754672867550393</v>
      </c>
      <c r="Y7" s="126" t="s">
        <v>32</v>
      </c>
      <c r="AA7" s="98"/>
    </row>
    <row r="8" spans="1:27" ht="12.75" customHeight="1">
      <c r="A8" s="18"/>
      <c r="B8" s="127" t="s">
        <v>92</v>
      </c>
      <c r="C8" s="200"/>
      <c r="D8" s="200"/>
      <c r="E8" s="201"/>
      <c r="F8" s="202"/>
      <c r="G8" s="202"/>
      <c r="H8" s="202"/>
      <c r="I8" s="202"/>
      <c r="J8" s="202">
        <f aca="true" t="shared" si="4" ref="J8:U8">SUM(J10,J11,J14,J20,J21,J22,J24,J25,J28,J30,J31,J32)</f>
        <v>343.6584955</v>
      </c>
      <c r="K8" s="202">
        <f t="shared" si="4"/>
        <v>364.60699999999997</v>
      </c>
      <c r="L8" s="202">
        <f t="shared" si="4"/>
        <v>383.719</v>
      </c>
      <c r="M8" s="202">
        <f t="shared" si="4"/>
        <v>400.51045510000006</v>
      </c>
      <c r="N8" s="202">
        <f t="shared" si="4"/>
        <v>415.5450000000001</v>
      </c>
      <c r="O8" s="202">
        <f t="shared" si="4"/>
        <v>431.8561157</v>
      </c>
      <c r="P8" s="202">
        <f t="shared" si="4"/>
        <v>443.21615299999996</v>
      </c>
      <c r="Q8" s="202">
        <f t="shared" si="4"/>
        <v>460.06463959999996</v>
      </c>
      <c r="R8" s="202">
        <f t="shared" si="4"/>
        <v>475.08831150000003</v>
      </c>
      <c r="S8" s="202">
        <f t="shared" si="4"/>
        <v>490.5634</v>
      </c>
      <c r="T8" s="202">
        <f t="shared" si="4"/>
        <v>520.6065</v>
      </c>
      <c r="U8" s="202">
        <f t="shared" si="4"/>
        <v>557.2556</v>
      </c>
      <c r="V8" s="202">
        <f>SUM(V10,V11,V14,V20,V21,V22,V24,V25,V28,V30,V31,V32)</f>
        <v>582.9242</v>
      </c>
      <c r="W8" s="202">
        <f>SUM(W10,W11,W14,W20,W21,W22,W24,W25,W28,W30,W31,W32)</f>
        <v>626.253</v>
      </c>
      <c r="X8" s="293">
        <f t="shared" si="3"/>
        <v>7.433007584862672</v>
      </c>
      <c r="Y8" s="127" t="s">
        <v>92</v>
      </c>
      <c r="AA8" s="98"/>
    </row>
    <row r="9" spans="1:27" ht="12.75" customHeight="1">
      <c r="A9" s="18"/>
      <c r="B9" s="20" t="s">
        <v>33</v>
      </c>
      <c r="C9" s="166">
        <v>41.107</v>
      </c>
      <c r="D9" s="166">
        <v>64.577</v>
      </c>
      <c r="E9" s="168">
        <v>90.183</v>
      </c>
      <c r="F9" s="168">
        <v>94.008</v>
      </c>
      <c r="G9" s="168">
        <v>95.7</v>
      </c>
      <c r="H9" s="168">
        <v>96.418</v>
      </c>
      <c r="I9" s="168">
        <v>99.123</v>
      </c>
      <c r="J9" s="168">
        <v>98.195</v>
      </c>
      <c r="K9" s="168">
        <v>98.191</v>
      </c>
      <c r="L9" s="168">
        <v>100.372</v>
      </c>
      <c r="M9" s="168">
        <v>102.953</v>
      </c>
      <c r="N9" s="168">
        <v>105.276</v>
      </c>
      <c r="O9" s="168">
        <v>105.527</v>
      </c>
      <c r="P9" s="168">
        <v>106.89</v>
      </c>
      <c r="Q9" s="168">
        <v>108.07</v>
      </c>
      <c r="R9" s="168">
        <v>106.968</v>
      </c>
      <c r="S9" s="168">
        <v>108.635</v>
      </c>
      <c r="T9" s="168">
        <v>108.876</v>
      </c>
      <c r="U9" s="168">
        <v>109.798</v>
      </c>
      <c r="V9" s="168">
        <v>112.08</v>
      </c>
      <c r="W9" s="168">
        <v>110.9</v>
      </c>
      <c r="X9" s="294">
        <f t="shared" si="3"/>
        <v>-1.0528194147037762</v>
      </c>
      <c r="Y9" s="20" t="s">
        <v>33</v>
      </c>
      <c r="AA9" s="98"/>
    </row>
    <row r="10" spans="1:27" ht="12.75" customHeight="1">
      <c r="A10" s="18"/>
      <c r="B10" s="126" t="s">
        <v>15</v>
      </c>
      <c r="C10" s="177" t="s">
        <v>45</v>
      </c>
      <c r="D10" s="177" t="s">
        <v>45</v>
      </c>
      <c r="E10" s="179"/>
      <c r="F10" s="179"/>
      <c r="G10" s="179"/>
      <c r="H10" s="179"/>
      <c r="I10" s="179"/>
      <c r="J10" s="180">
        <v>25</v>
      </c>
      <c r="K10" s="180">
        <v>24.5</v>
      </c>
      <c r="L10" s="180">
        <v>23.9</v>
      </c>
      <c r="M10" s="180">
        <v>24.6</v>
      </c>
      <c r="N10" s="180">
        <v>25.4</v>
      </c>
      <c r="O10" s="180">
        <v>26.9</v>
      </c>
      <c r="P10" s="180">
        <v>27.9</v>
      </c>
      <c r="Q10" s="180">
        <v>29.3</v>
      </c>
      <c r="R10" s="180">
        <v>30.7</v>
      </c>
      <c r="S10" s="180">
        <v>32.8</v>
      </c>
      <c r="T10" s="180">
        <v>35.1</v>
      </c>
      <c r="U10" s="180">
        <v>37.6</v>
      </c>
      <c r="V10" s="180">
        <v>40.4</v>
      </c>
      <c r="W10" s="180">
        <v>43.2</v>
      </c>
      <c r="X10" s="295">
        <f t="shared" si="3"/>
        <v>6.930693069306937</v>
      </c>
      <c r="Y10" s="126" t="s">
        <v>15</v>
      </c>
      <c r="AA10" s="98"/>
    </row>
    <row r="11" spans="1:27" s="356" customFormat="1" ht="12.75" customHeight="1">
      <c r="A11" s="352"/>
      <c r="B11" s="20" t="s">
        <v>17</v>
      </c>
      <c r="C11" s="353"/>
      <c r="D11" s="353"/>
      <c r="E11" s="354"/>
      <c r="F11" s="64"/>
      <c r="G11" s="64"/>
      <c r="H11" s="64">
        <v>49</v>
      </c>
      <c r="I11" s="64">
        <v>51.7</v>
      </c>
      <c r="J11" s="64">
        <v>54.5</v>
      </c>
      <c r="K11" s="64">
        <v>57.9</v>
      </c>
      <c r="L11" s="64">
        <v>59</v>
      </c>
      <c r="M11" s="82">
        <v>59.726</v>
      </c>
      <c r="N11" s="64">
        <v>62.38</v>
      </c>
      <c r="O11" s="64">
        <v>63.94</v>
      </c>
      <c r="P11" s="64">
        <v>63.47</v>
      </c>
      <c r="Q11" s="64">
        <v>65.29</v>
      </c>
      <c r="R11" s="64">
        <v>67.36</v>
      </c>
      <c r="S11" s="64">
        <v>67.57</v>
      </c>
      <c r="T11" s="64">
        <v>68.64</v>
      </c>
      <c r="U11" s="64">
        <v>69.63</v>
      </c>
      <c r="V11" s="64">
        <v>71.54</v>
      </c>
      <c r="W11" s="64">
        <v>72.38</v>
      </c>
      <c r="X11" s="355">
        <f t="shared" si="3"/>
        <v>1.1741682974559575</v>
      </c>
      <c r="Y11" s="20" t="s">
        <v>17</v>
      </c>
      <c r="AA11" s="357"/>
    </row>
    <row r="12" spans="1:27" ht="12.75" customHeight="1">
      <c r="A12" s="18"/>
      <c r="B12" s="126" t="s">
        <v>28</v>
      </c>
      <c r="C12" s="177">
        <v>33.3</v>
      </c>
      <c r="D12" s="177">
        <v>38.485</v>
      </c>
      <c r="E12" s="181">
        <v>47.647999999999996</v>
      </c>
      <c r="F12" s="181">
        <v>48.379</v>
      </c>
      <c r="G12" s="181">
        <v>48.694</v>
      </c>
      <c r="H12" s="181">
        <v>48.098</v>
      </c>
      <c r="I12" s="181">
        <v>48.158</v>
      </c>
      <c r="J12" s="181">
        <v>48.689</v>
      </c>
      <c r="K12" s="181">
        <v>49.399</v>
      </c>
      <c r="L12" s="181">
        <v>50.327999999999996</v>
      </c>
      <c r="M12" s="181">
        <v>50.805</v>
      </c>
      <c r="N12" s="181">
        <v>51.85</v>
      </c>
      <c r="O12" s="181">
        <v>51.209</v>
      </c>
      <c r="P12" s="181">
        <v>50.259</v>
      </c>
      <c r="Q12" s="181">
        <v>50.415</v>
      </c>
      <c r="R12" s="181">
        <v>50.992</v>
      </c>
      <c r="S12" s="181">
        <v>50.557</v>
      </c>
      <c r="T12" s="181">
        <v>50.75</v>
      </c>
      <c r="U12" s="181">
        <v>51.573</v>
      </c>
      <c r="V12" s="181">
        <v>52.908</v>
      </c>
      <c r="W12" s="181">
        <v>52.862</v>
      </c>
      <c r="X12" s="134">
        <f t="shared" si="3"/>
        <v>-0.08694337340289238</v>
      </c>
      <c r="Y12" s="126" t="s">
        <v>28</v>
      </c>
      <c r="AA12" s="98"/>
    </row>
    <row r="13" spans="1:27" s="356" customFormat="1" ht="12.75" customHeight="1">
      <c r="A13" s="352"/>
      <c r="B13" s="20" t="s">
        <v>34</v>
      </c>
      <c r="C13" s="358">
        <v>394.6</v>
      </c>
      <c r="D13" s="358">
        <v>513.7</v>
      </c>
      <c r="E13" s="64">
        <v>683.1</v>
      </c>
      <c r="F13" s="64">
        <v>700</v>
      </c>
      <c r="G13" s="64">
        <v>719.5</v>
      </c>
      <c r="H13" s="359">
        <v>729.8</v>
      </c>
      <c r="I13" s="64">
        <v>807.022</v>
      </c>
      <c r="J13" s="64">
        <v>815.298</v>
      </c>
      <c r="K13" s="64">
        <v>816.072</v>
      </c>
      <c r="L13" s="64">
        <v>817.071</v>
      </c>
      <c r="M13" s="64">
        <v>828.069</v>
      </c>
      <c r="N13" s="64">
        <v>848.42</v>
      </c>
      <c r="O13" s="64">
        <v>831.267</v>
      </c>
      <c r="P13" s="64">
        <v>852.629</v>
      </c>
      <c r="Q13" s="64">
        <v>862.987</v>
      </c>
      <c r="R13" s="64">
        <v>857.735</v>
      </c>
      <c r="S13" s="64">
        <v>868.65</v>
      </c>
      <c r="T13" s="64">
        <v>856.875</v>
      </c>
      <c r="U13" s="64">
        <v>863.328</v>
      </c>
      <c r="V13" s="64">
        <v>868.004</v>
      </c>
      <c r="W13" s="64">
        <v>852.272</v>
      </c>
      <c r="X13" s="355">
        <f t="shared" si="3"/>
        <v>-1.8124340440827447</v>
      </c>
      <c r="Y13" s="20" t="s">
        <v>34</v>
      </c>
      <c r="AA13" s="357"/>
    </row>
    <row r="14" spans="1:27" ht="12.75" customHeight="1">
      <c r="A14" s="18"/>
      <c r="B14" s="126" t="s">
        <v>18</v>
      </c>
      <c r="C14" s="177" t="s">
        <v>45</v>
      </c>
      <c r="D14" s="177" t="s">
        <v>45</v>
      </c>
      <c r="E14" s="179" t="s">
        <v>45</v>
      </c>
      <c r="F14" s="179" t="s">
        <v>45</v>
      </c>
      <c r="G14" s="179" t="s">
        <v>45</v>
      </c>
      <c r="H14" s="179" t="s">
        <v>45</v>
      </c>
      <c r="I14" s="179" t="s">
        <v>45</v>
      </c>
      <c r="J14" s="180">
        <v>5.1434955</v>
      </c>
      <c r="K14" s="180">
        <v>5.5</v>
      </c>
      <c r="L14" s="180">
        <v>5.8</v>
      </c>
      <c r="M14" s="180">
        <v>6.1924551</v>
      </c>
      <c r="N14" s="180">
        <v>6.4</v>
      </c>
      <c r="O14" s="180">
        <v>6.6821157</v>
      </c>
      <c r="P14" s="180">
        <v>6.809152999999999</v>
      </c>
      <c r="Q14" s="180">
        <v>7.059639600000001</v>
      </c>
      <c r="R14" s="180">
        <v>7.6633115</v>
      </c>
      <c r="S14" s="179">
        <v>7.813</v>
      </c>
      <c r="T14" s="179">
        <v>9.929</v>
      </c>
      <c r="U14" s="179">
        <v>9.946</v>
      </c>
      <c r="V14" s="180">
        <v>10</v>
      </c>
      <c r="W14" s="180">
        <v>10.5</v>
      </c>
      <c r="X14" s="295">
        <f t="shared" si="3"/>
        <v>5.000000000000004</v>
      </c>
      <c r="Y14" s="126" t="s">
        <v>18</v>
      </c>
      <c r="AA14" s="98"/>
    </row>
    <row r="15" spans="1:27" ht="12.75" customHeight="1">
      <c r="A15" s="18"/>
      <c r="B15" s="20" t="s">
        <v>37</v>
      </c>
      <c r="C15" s="163">
        <v>10</v>
      </c>
      <c r="D15" s="163">
        <v>19</v>
      </c>
      <c r="E15" s="164">
        <v>28.507</v>
      </c>
      <c r="F15" s="164">
        <v>29.038</v>
      </c>
      <c r="G15" s="164">
        <v>29.52</v>
      </c>
      <c r="H15" s="164">
        <v>29.836</v>
      </c>
      <c r="I15" s="164">
        <v>30.56</v>
      </c>
      <c r="J15" s="164">
        <v>31.558</v>
      </c>
      <c r="K15" s="164">
        <v>32.8</v>
      </c>
      <c r="L15" s="164">
        <v>34.361</v>
      </c>
      <c r="M15" s="164">
        <v>35.756</v>
      </c>
      <c r="N15" s="164">
        <v>36.838</v>
      </c>
      <c r="O15" s="164">
        <v>38.375</v>
      </c>
      <c r="P15" s="164">
        <v>39.816</v>
      </c>
      <c r="Q15" s="164">
        <v>40.279</v>
      </c>
      <c r="R15" s="164">
        <v>41.29</v>
      </c>
      <c r="S15" s="165">
        <v>42.209</v>
      </c>
      <c r="T15" s="165">
        <v>43.39</v>
      </c>
      <c r="U15" s="165">
        <v>45.14</v>
      </c>
      <c r="V15" s="165">
        <v>47.468</v>
      </c>
      <c r="W15" s="165">
        <v>49.03</v>
      </c>
      <c r="X15" s="297">
        <f t="shared" si="3"/>
        <v>3.2906379034296718</v>
      </c>
      <c r="Y15" s="20" t="s">
        <v>37</v>
      </c>
      <c r="AA15" s="98"/>
    </row>
    <row r="16" spans="1:27" ht="12.75" customHeight="1">
      <c r="A16" s="18"/>
      <c r="B16" s="126" t="s">
        <v>29</v>
      </c>
      <c r="C16" s="182">
        <v>4.5</v>
      </c>
      <c r="D16" s="182">
        <v>17.5</v>
      </c>
      <c r="E16" s="180">
        <v>35</v>
      </c>
      <c r="F16" s="180">
        <v>36</v>
      </c>
      <c r="G16" s="180">
        <v>37</v>
      </c>
      <c r="H16" s="180">
        <v>39</v>
      </c>
      <c r="I16" s="180">
        <v>42</v>
      </c>
      <c r="J16" s="180">
        <v>44</v>
      </c>
      <c r="K16" s="180">
        <v>47</v>
      </c>
      <c r="L16" s="180">
        <v>50</v>
      </c>
      <c r="M16" s="180">
        <v>53</v>
      </c>
      <c r="N16" s="180">
        <v>58</v>
      </c>
      <c r="O16" s="180">
        <v>63</v>
      </c>
      <c r="P16" s="180">
        <v>68</v>
      </c>
      <c r="Q16" s="180">
        <v>72</v>
      </c>
      <c r="R16" s="180">
        <v>76</v>
      </c>
      <c r="S16" s="180">
        <v>80</v>
      </c>
      <c r="T16" s="180">
        <v>85</v>
      </c>
      <c r="U16" s="180">
        <v>90</v>
      </c>
      <c r="V16" s="180">
        <v>95</v>
      </c>
      <c r="W16" s="180">
        <v>100</v>
      </c>
      <c r="X16" s="295">
        <f t="shared" si="3"/>
        <v>5.263157894736836</v>
      </c>
      <c r="Y16" s="126" t="s">
        <v>29</v>
      </c>
      <c r="AA16" s="98"/>
    </row>
    <row r="17" spans="1:27" ht="12.75" customHeight="1">
      <c r="A17" s="18"/>
      <c r="B17" s="20" t="s">
        <v>35</v>
      </c>
      <c r="C17" s="166">
        <v>64.3</v>
      </c>
      <c r="D17" s="166">
        <v>130.9</v>
      </c>
      <c r="E17" s="253">
        <v>174.4</v>
      </c>
      <c r="F17" s="168">
        <v>207.542</v>
      </c>
      <c r="G17" s="165">
        <v>218.27</v>
      </c>
      <c r="H17" s="165">
        <v>229</v>
      </c>
      <c r="I17" s="165">
        <v>239.7</v>
      </c>
      <c r="J17" s="168">
        <v>250.374</v>
      </c>
      <c r="K17" s="165">
        <v>259</v>
      </c>
      <c r="L17" s="165">
        <v>267.6</v>
      </c>
      <c r="M17" s="168">
        <v>276.173</v>
      </c>
      <c r="N17" s="168">
        <v>293.54</v>
      </c>
      <c r="O17" s="168">
        <v>302.611</v>
      </c>
      <c r="P17" s="168">
        <v>307.955</v>
      </c>
      <c r="Q17" s="165">
        <v>315</v>
      </c>
      <c r="R17" s="168">
        <v>321.928</v>
      </c>
      <c r="S17" s="168">
        <v>330.192</v>
      </c>
      <c r="T17" s="168">
        <v>337.797</v>
      </c>
      <c r="U17" s="168">
        <v>340.937</v>
      </c>
      <c r="V17" s="168">
        <v>343.293</v>
      </c>
      <c r="W17" s="168">
        <v>339.1</v>
      </c>
      <c r="X17" s="294">
        <f t="shared" si="3"/>
        <v>-1.2214056214370772</v>
      </c>
      <c r="Y17" s="20" t="s">
        <v>35</v>
      </c>
      <c r="AA17" s="98"/>
    </row>
    <row r="18" spans="1:27" ht="12.75" customHeight="1">
      <c r="A18" s="18"/>
      <c r="B18" s="126" t="s">
        <v>36</v>
      </c>
      <c r="C18" s="177">
        <v>304.7</v>
      </c>
      <c r="D18" s="177">
        <v>452.5</v>
      </c>
      <c r="E18" s="179">
        <v>585.592</v>
      </c>
      <c r="F18" s="179">
        <v>591.448</v>
      </c>
      <c r="G18" s="179">
        <v>606.234</v>
      </c>
      <c r="H18" s="179">
        <v>611.084</v>
      </c>
      <c r="I18" s="179">
        <v>623.305</v>
      </c>
      <c r="J18" s="179">
        <v>640.134</v>
      </c>
      <c r="K18" s="179">
        <v>649.096</v>
      </c>
      <c r="L18" s="179">
        <v>659.482</v>
      </c>
      <c r="M18" s="179">
        <v>678.607</v>
      </c>
      <c r="N18" s="179">
        <v>699.644</v>
      </c>
      <c r="O18" s="179">
        <v>699.644</v>
      </c>
      <c r="P18" s="179">
        <v>727.59</v>
      </c>
      <c r="Q18" s="179">
        <v>733.454</v>
      </c>
      <c r="R18" s="179">
        <v>738.578</v>
      </c>
      <c r="S18" s="179">
        <v>736.945</v>
      </c>
      <c r="T18" s="179">
        <v>727.364</v>
      </c>
      <c r="U18" s="179">
        <v>723.794</v>
      </c>
      <c r="V18" s="179">
        <v>727.816</v>
      </c>
      <c r="W18" s="179">
        <v>720.173</v>
      </c>
      <c r="X18" s="296">
        <f t="shared" si="3"/>
        <v>-1.0501280543434133</v>
      </c>
      <c r="Y18" s="126" t="s">
        <v>36</v>
      </c>
      <c r="AA18" s="98"/>
    </row>
    <row r="19" spans="1:27" s="356" customFormat="1" ht="12.75" customHeight="1">
      <c r="A19" s="352"/>
      <c r="B19" s="20" t="s">
        <v>38</v>
      </c>
      <c r="C19" s="358">
        <v>211.934</v>
      </c>
      <c r="D19" s="358">
        <v>324.034</v>
      </c>
      <c r="E19" s="380">
        <v>522.593</v>
      </c>
      <c r="F19" s="82">
        <v>538.27</v>
      </c>
      <c r="G19" s="82">
        <v>602.21</v>
      </c>
      <c r="H19" s="82">
        <v>603.09</v>
      </c>
      <c r="I19" s="64">
        <v>600.3</v>
      </c>
      <c r="J19" s="64">
        <v>614.713</v>
      </c>
      <c r="K19" s="64">
        <v>627.383</v>
      </c>
      <c r="L19" s="64">
        <v>638.837</v>
      </c>
      <c r="M19" s="64">
        <v>662.545</v>
      </c>
      <c r="N19" s="359">
        <v>663.319</v>
      </c>
      <c r="O19" s="64">
        <v>726.529</v>
      </c>
      <c r="P19" s="64">
        <v>717.683</v>
      </c>
      <c r="Q19" s="64">
        <v>711.733</v>
      </c>
      <c r="R19" s="64">
        <v>710.988</v>
      </c>
      <c r="S19" s="64">
        <v>716.06</v>
      </c>
      <c r="T19" s="64">
        <v>688.986</v>
      </c>
      <c r="U19" s="64">
        <v>744.86</v>
      </c>
      <c r="V19" s="64">
        <v>768.347</v>
      </c>
      <c r="W19" s="64">
        <v>719.558</v>
      </c>
      <c r="X19" s="355">
        <f t="shared" si="3"/>
        <v>-6.349865360312457</v>
      </c>
      <c r="Y19" s="20" t="s">
        <v>38</v>
      </c>
      <c r="AA19" s="357"/>
    </row>
    <row r="20" spans="1:27" ht="12.75" customHeight="1">
      <c r="A20" s="18"/>
      <c r="B20" s="126" t="s">
        <v>16</v>
      </c>
      <c r="C20" s="177" t="s">
        <v>45</v>
      </c>
      <c r="D20" s="177" t="s">
        <v>45</v>
      </c>
      <c r="E20" s="179" t="s">
        <v>45</v>
      </c>
      <c r="F20" s="179" t="s">
        <v>45</v>
      </c>
      <c r="G20" s="179" t="s">
        <v>45</v>
      </c>
      <c r="H20" s="179" t="s">
        <v>45</v>
      </c>
      <c r="I20" s="179" t="s">
        <v>45</v>
      </c>
      <c r="J20" s="183">
        <v>3.4</v>
      </c>
      <c r="K20" s="183">
        <v>3.5</v>
      </c>
      <c r="L20" s="183">
        <v>3.6</v>
      </c>
      <c r="M20" s="183">
        <v>3.7</v>
      </c>
      <c r="N20" s="183">
        <v>3.8</v>
      </c>
      <c r="O20" s="183">
        <v>3.9</v>
      </c>
      <c r="P20" s="183">
        <v>4</v>
      </c>
      <c r="Q20" s="183">
        <v>4.1</v>
      </c>
      <c r="R20" s="183">
        <v>4.15</v>
      </c>
      <c r="S20" s="180">
        <v>4.6</v>
      </c>
      <c r="T20" s="180">
        <v>4.8</v>
      </c>
      <c r="U20" s="180">
        <v>5</v>
      </c>
      <c r="V20" s="180">
        <v>5.3</v>
      </c>
      <c r="W20" s="180">
        <v>5.75</v>
      </c>
      <c r="X20" s="295">
        <f t="shared" si="3"/>
        <v>8.490566037735858</v>
      </c>
      <c r="Y20" s="126" t="s">
        <v>16</v>
      </c>
      <c r="AA20" s="98"/>
    </row>
    <row r="21" spans="1:27" s="356" customFormat="1" ht="12.75" customHeight="1">
      <c r="A21" s="352"/>
      <c r="B21" s="20" t="s">
        <v>20</v>
      </c>
      <c r="C21" s="358" t="s">
        <v>45</v>
      </c>
      <c r="D21" s="358" t="s">
        <v>45</v>
      </c>
      <c r="E21" s="64" t="s">
        <v>45</v>
      </c>
      <c r="F21" s="64" t="s">
        <v>45</v>
      </c>
      <c r="G21" s="64" t="s">
        <v>45</v>
      </c>
      <c r="H21" s="64" t="s">
        <v>45</v>
      </c>
      <c r="I21" s="64" t="s">
        <v>45</v>
      </c>
      <c r="J21" s="362">
        <v>7.5</v>
      </c>
      <c r="K21" s="362">
        <v>8</v>
      </c>
      <c r="L21" s="362">
        <v>9</v>
      </c>
      <c r="M21" s="362">
        <v>10</v>
      </c>
      <c r="N21" s="362">
        <v>11</v>
      </c>
      <c r="O21" s="362">
        <v>11.5</v>
      </c>
      <c r="P21" s="362">
        <v>12</v>
      </c>
      <c r="Q21" s="362">
        <v>12.5</v>
      </c>
      <c r="R21" s="362">
        <v>13</v>
      </c>
      <c r="S21" s="82">
        <v>11.5064</v>
      </c>
      <c r="T21" s="82">
        <v>12.1115</v>
      </c>
      <c r="U21" s="82">
        <v>14.0196</v>
      </c>
      <c r="V21" s="82">
        <v>15.9572</v>
      </c>
      <c r="W21" s="82">
        <v>17</v>
      </c>
      <c r="X21" s="361">
        <f t="shared" si="3"/>
        <v>6.534981074373958</v>
      </c>
      <c r="Y21" s="20" t="s">
        <v>20</v>
      </c>
      <c r="AA21" s="357"/>
    </row>
    <row r="22" spans="1:27" ht="12.75" customHeight="1">
      <c r="A22" s="18"/>
      <c r="B22" s="126" t="s">
        <v>21</v>
      </c>
      <c r="C22" s="177" t="s">
        <v>45</v>
      </c>
      <c r="D22" s="177" t="s">
        <v>45</v>
      </c>
      <c r="E22" s="179" t="s">
        <v>45</v>
      </c>
      <c r="F22" s="179" t="s">
        <v>45</v>
      </c>
      <c r="G22" s="179" t="s">
        <v>45</v>
      </c>
      <c r="H22" s="179" t="s">
        <v>45</v>
      </c>
      <c r="I22" s="179" t="s">
        <v>45</v>
      </c>
      <c r="J22" s="180">
        <v>16</v>
      </c>
      <c r="K22" s="180">
        <v>18</v>
      </c>
      <c r="L22" s="180">
        <v>20</v>
      </c>
      <c r="M22" s="180">
        <v>22</v>
      </c>
      <c r="N22" s="180">
        <v>25</v>
      </c>
      <c r="O22" s="180">
        <v>26</v>
      </c>
      <c r="P22" s="180">
        <v>26</v>
      </c>
      <c r="Q22" s="180">
        <v>26</v>
      </c>
      <c r="R22" s="180">
        <v>29</v>
      </c>
      <c r="S22" s="180">
        <v>31</v>
      </c>
      <c r="T22" s="179">
        <v>34.793</v>
      </c>
      <c r="U22" s="179">
        <v>39.472</v>
      </c>
      <c r="V22" s="179">
        <v>39.119</v>
      </c>
      <c r="W22" s="179">
        <v>38</v>
      </c>
      <c r="X22" s="296">
        <f t="shared" si="3"/>
        <v>-2.860502569084078</v>
      </c>
      <c r="Y22" s="126" t="s">
        <v>21</v>
      </c>
      <c r="AA22" s="98"/>
    </row>
    <row r="23" spans="1:27" s="356" customFormat="1" ht="12.75" customHeight="1">
      <c r="A23" s="352"/>
      <c r="B23" s="20" t="s">
        <v>39</v>
      </c>
      <c r="C23" s="360">
        <v>2.1</v>
      </c>
      <c r="D23" s="360">
        <v>2.7</v>
      </c>
      <c r="E23" s="82">
        <v>4</v>
      </c>
      <c r="F23" s="82">
        <v>4.15</v>
      </c>
      <c r="G23" s="82">
        <v>4.3</v>
      </c>
      <c r="H23" s="82">
        <v>4.5</v>
      </c>
      <c r="I23" s="82">
        <v>4.6</v>
      </c>
      <c r="J23" s="82">
        <v>4.7</v>
      </c>
      <c r="K23" s="82">
        <v>4.8</v>
      </c>
      <c r="L23" s="82">
        <v>4.9</v>
      </c>
      <c r="M23" s="82">
        <v>5</v>
      </c>
      <c r="N23" s="82">
        <v>5</v>
      </c>
      <c r="O23" s="82">
        <v>5.6</v>
      </c>
      <c r="P23" s="82">
        <v>5.8</v>
      </c>
      <c r="Q23" s="82">
        <v>5.9</v>
      </c>
      <c r="R23" s="82">
        <v>6</v>
      </c>
      <c r="S23" s="82">
        <v>6.1</v>
      </c>
      <c r="T23" s="82">
        <v>6.3</v>
      </c>
      <c r="U23" s="82">
        <v>6.5</v>
      </c>
      <c r="V23" s="82">
        <v>6.6</v>
      </c>
      <c r="W23" s="82">
        <v>6.7</v>
      </c>
      <c r="X23" s="361">
        <f t="shared" si="3"/>
        <v>1.5151515151515138</v>
      </c>
      <c r="Y23" s="20" t="s">
        <v>39</v>
      </c>
      <c r="AA23" s="357"/>
    </row>
    <row r="24" spans="1:27" ht="12.75" customHeight="1">
      <c r="A24" s="18"/>
      <c r="B24" s="126" t="s">
        <v>19</v>
      </c>
      <c r="C24" s="177" t="s">
        <v>45</v>
      </c>
      <c r="D24" s="177" t="s">
        <v>45</v>
      </c>
      <c r="E24" s="179">
        <v>47</v>
      </c>
      <c r="F24" s="179">
        <v>46.8</v>
      </c>
      <c r="G24" s="179">
        <v>44.6</v>
      </c>
      <c r="H24" s="179">
        <v>44</v>
      </c>
      <c r="I24" s="179">
        <v>44.9</v>
      </c>
      <c r="J24" s="179">
        <v>45.4</v>
      </c>
      <c r="K24" s="179">
        <v>45.6</v>
      </c>
      <c r="L24" s="179">
        <v>46.1</v>
      </c>
      <c r="M24" s="179">
        <v>46.15</v>
      </c>
      <c r="N24" s="179">
        <v>46.17</v>
      </c>
      <c r="O24" s="179">
        <v>46.18</v>
      </c>
      <c r="P24" s="179">
        <v>46.18</v>
      </c>
      <c r="Q24" s="179">
        <v>46.3</v>
      </c>
      <c r="R24" s="179">
        <v>46.36</v>
      </c>
      <c r="S24" s="179">
        <v>46.45</v>
      </c>
      <c r="T24" s="179">
        <v>46.6</v>
      </c>
      <c r="U24" s="179">
        <v>46.85</v>
      </c>
      <c r="V24" s="179">
        <v>41.419</v>
      </c>
      <c r="W24" s="179">
        <v>42</v>
      </c>
      <c r="X24" s="296">
        <f t="shared" si="3"/>
        <v>1.4027378739225993</v>
      </c>
      <c r="Y24" s="126" t="s">
        <v>19</v>
      </c>
      <c r="AA24" s="98"/>
    </row>
    <row r="25" spans="1:27" s="356" customFormat="1" ht="12.75" customHeight="1">
      <c r="A25" s="352"/>
      <c r="B25" s="20" t="s">
        <v>22</v>
      </c>
      <c r="C25" s="358" t="s">
        <v>45</v>
      </c>
      <c r="D25" s="358" t="s">
        <v>45</v>
      </c>
      <c r="E25" s="64" t="s">
        <v>45</v>
      </c>
      <c r="F25" s="64" t="s">
        <v>45</v>
      </c>
      <c r="G25" s="64" t="s">
        <v>45</v>
      </c>
      <c r="H25" s="64" t="s">
        <v>45</v>
      </c>
      <c r="I25" s="64" t="s">
        <v>45</v>
      </c>
      <c r="J25" s="82">
        <v>1.7</v>
      </c>
      <c r="K25" s="82">
        <v>1.72</v>
      </c>
      <c r="L25" s="82">
        <v>1.74</v>
      </c>
      <c r="M25" s="82">
        <v>1.76</v>
      </c>
      <c r="N25" s="82">
        <v>1.78</v>
      </c>
      <c r="O25" s="82">
        <v>1.8</v>
      </c>
      <c r="P25" s="82">
        <v>1.8</v>
      </c>
      <c r="Q25" s="82">
        <v>1.85</v>
      </c>
      <c r="R25" s="82">
        <v>1.9</v>
      </c>
      <c r="S25" s="82">
        <v>1.95</v>
      </c>
      <c r="T25" s="82">
        <v>2</v>
      </c>
      <c r="U25" s="82">
        <v>2.05</v>
      </c>
      <c r="V25" s="82">
        <v>2.1</v>
      </c>
      <c r="W25" s="82">
        <v>2.15</v>
      </c>
      <c r="X25" s="361">
        <f t="shared" si="3"/>
        <v>2.3809523809523725</v>
      </c>
      <c r="Y25" s="20" t="s">
        <v>22</v>
      </c>
      <c r="AA25" s="357"/>
    </row>
    <row r="26" spans="1:27" ht="12.75" customHeight="1">
      <c r="A26" s="18"/>
      <c r="B26" s="92" t="s">
        <v>30</v>
      </c>
      <c r="C26" s="177">
        <v>67.1</v>
      </c>
      <c r="D26" s="178">
        <v>108.1</v>
      </c>
      <c r="E26" s="179">
        <v>137.3</v>
      </c>
      <c r="F26" s="179">
        <v>124.5</v>
      </c>
      <c r="G26" s="179">
        <v>129.1</v>
      </c>
      <c r="H26" s="179">
        <v>126.1</v>
      </c>
      <c r="I26" s="179">
        <v>128.8</v>
      </c>
      <c r="J26" s="179">
        <v>131.4</v>
      </c>
      <c r="K26" s="179">
        <v>132.7</v>
      </c>
      <c r="L26" s="179">
        <v>136.5</v>
      </c>
      <c r="M26" s="179">
        <v>137.1</v>
      </c>
      <c r="N26" s="179">
        <v>141.3</v>
      </c>
      <c r="O26" s="179">
        <v>141.1</v>
      </c>
      <c r="P26" s="179">
        <v>141.6</v>
      </c>
      <c r="Q26" s="179">
        <v>144.2</v>
      </c>
      <c r="R26" s="179">
        <v>146.1</v>
      </c>
      <c r="S26" s="179">
        <v>151.6</v>
      </c>
      <c r="T26" s="179">
        <v>148.8</v>
      </c>
      <c r="U26" s="179">
        <v>148</v>
      </c>
      <c r="V26" s="179">
        <v>148.8</v>
      </c>
      <c r="W26" s="179">
        <v>147</v>
      </c>
      <c r="X26" s="296">
        <f t="shared" si="3"/>
        <v>-1.2096774193548487</v>
      </c>
      <c r="Y26" s="92" t="s">
        <v>30</v>
      </c>
      <c r="AA26" s="98"/>
    </row>
    <row r="27" spans="1:27" s="356" customFormat="1" ht="12.75" customHeight="1">
      <c r="A27" s="352"/>
      <c r="B27" s="20" t="s">
        <v>40</v>
      </c>
      <c r="C27" s="358">
        <v>32.9</v>
      </c>
      <c r="D27" s="358">
        <v>47.8</v>
      </c>
      <c r="E27" s="64">
        <v>55.678</v>
      </c>
      <c r="F27" s="64">
        <v>57.393</v>
      </c>
      <c r="G27" s="64">
        <v>58.957</v>
      </c>
      <c r="H27" s="64">
        <v>59.783</v>
      </c>
      <c r="I27" s="64">
        <v>61.803</v>
      </c>
      <c r="J27" s="64">
        <v>62.156</v>
      </c>
      <c r="K27" s="64">
        <v>63.073</v>
      </c>
      <c r="L27" s="64">
        <v>63.865</v>
      </c>
      <c r="M27" s="64">
        <v>64.862</v>
      </c>
      <c r="N27" s="64">
        <v>66.111</v>
      </c>
      <c r="O27" s="64">
        <v>66.667</v>
      </c>
      <c r="P27" s="64">
        <v>67.102</v>
      </c>
      <c r="Q27" s="64">
        <v>67.959</v>
      </c>
      <c r="R27" s="64">
        <v>68.942</v>
      </c>
      <c r="S27" s="64">
        <v>69.606</v>
      </c>
      <c r="T27" s="64">
        <v>70.556</v>
      </c>
      <c r="U27" s="64">
        <v>70.89</v>
      </c>
      <c r="V27" s="64">
        <v>72.023</v>
      </c>
      <c r="W27" s="64">
        <v>73.283</v>
      </c>
      <c r="X27" s="355">
        <f t="shared" si="3"/>
        <v>1.7494411507435137</v>
      </c>
      <c r="Y27" s="20" t="s">
        <v>40</v>
      </c>
      <c r="AA27" s="357"/>
    </row>
    <row r="28" spans="1:27" ht="12.75" customHeight="1">
      <c r="A28" s="18"/>
      <c r="B28" s="126" t="s">
        <v>23</v>
      </c>
      <c r="C28" s="177" t="s">
        <v>45</v>
      </c>
      <c r="D28" s="177" t="s">
        <v>45</v>
      </c>
      <c r="E28" s="179" t="s">
        <v>45</v>
      </c>
      <c r="F28" s="179"/>
      <c r="G28" s="179"/>
      <c r="H28" s="179"/>
      <c r="I28" s="179"/>
      <c r="J28" s="179">
        <v>110.7</v>
      </c>
      <c r="K28" s="179">
        <v>121.6</v>
      </c>
      <c r="L28" s="179">
        <v>132</v>
      </c>
      <c r="M28" s="179">
        <v>141.1</v>
      </c>
      <c r="N28" s="179">
        <v>143</v>
      </c>
      <c r="O28" s="179">
        <v>149.7</v>
      </c>
      <c r="P28" s="179">
        <v>157.7</v>
      </c>
      <c r="Q28" s="179">
        <v>167.4</v>
      </c>
      <c r="R28" s="179">
        <v>172.4</v>
      </c>
      <c r="S28" s="179">
        <v>181.5</v>
      </c>
      <c r="T28" s="179">
        <v>197.3</v>
      </c>
      <c r="U28" s="179">
        <v>219.24</v>
      </c>
      <c r="V28" s="179">
        <v>239.26</v>
      </c>
      <c r="W28" s="179">
        <v>273.5</v>
      </c>
      <c r="X28" s="296">
        <f t="shared" si="3"/>
        <v>14.31079160745632</v>
      </c>
      <c r="Y28" s="126" t="s">
        <v>23</v>
      </c>
      <c r="AA28" s="98"/>
    </row>
    <row r="29" spans="1:27" s="356" customFormat="1" ht="12.75" customHeight="1">
      <c r="A29" s="352"/>
      <c r="B29" s="20" t="s">
        <v>41</v>
      </c>
      <c r="C29" s="360">
        <v>13.8</v>
      </c>
      <c r="D29" s="360">
        <v>29</v>
      </c>
      <c r="E29" s="82">
        <v>40</v>
      </c>
      <c r="F29" s="82">
        <v>41</v>
      </c>
      <c r="G29" s="82">
        <v>43</v>
      </c>
      <c r="H29" s="82">
        <v>46</v>
      </c>
      <c r="I29" s="82">
        <v>49</v>
      </c>
      <c r="J29" s="82">
        <v>52.5</v>
      </c>
      <c r="K29" s="82">
        <v>56</v>
      </c>
      <c r="L29" s="82">
        <v>60</v>
      </c>
      <c r="M29" s="82">
        <v>64</v>
      </c>
      <c r="N29" s="82">
        <v>68</v>
      </c>
      <c r="O29" s="82">
        <v>71</v>
      </c>
      <c r="P29" s="82">
        <v>73.2</v>
      </c>
      <c r="Q29" s="82">
        <v>77.7</v>
      </c>
      <c r="R29" s="82">
        <v>81.5</v>
      </c>
      <c r="S29" s="82">
        <v>83</v>
      </c>
      <c r="T29" s="82">
        <v>85</v>
      </c>
      <c r="U29" s="82">
        <v>86</v>
      </c>
      <c r="V29" s="82">
        <v>86.6</v>
      </c>
      <c r="W29" s="82">
        <v>87</v>
      </c>
      <c r="X29" s="361">
        <f t="shared" si="3"/>
        <v>0.46189376443419583</v>
      </c>
      <c r="Y29" s="20" t="s">
        <v>41</v>
      </c>
      <c r="AA29" s="357"/>
    </row>
    <row r="30" spans="1:27" ht="12.75" customHeight="1">
      <c r="A30" s="18"/>
      <c r="B30" s="126" t="s">
        <v>24</v>
      </c>
      <c r="C30" s="182"/>
      <c r="D30" s="182"/>
      <c r="E30" s="180"/>
      <c r="F30" s="180"/>
      <c r="G30" s="180"/>
      <c r="H30" s="180"/>
      <c r="I30" s="180"/>
      <c r="J30" s="180">
        <v>40</v>
      </c>
      <c r="K30" s="180">
        <v>42.5</v>
      </c>
      <c r="L30" s="180">
        <v>45</v>
      </c>
      <c r="M30" s="180">
        <v>47</v>
      </c>
      <c r="N30" s="180">
        <v>49</v>
      </c>
      <c r="O30" s="180">
        <v>51</v>
      </c>
      <c r="P30" s="180">
        <v>52.5</v>
      </c>
      <c r="Q30" s="180">
        <v>54</v>
      </c>
      <c r="R30" s="180">
        <v>56</v>
      </c>
      <c r="S30" s="180">
        <v>58</v>
      </c>
      <c r="T30" s="180">
        <v>61</v>
      </c>
      <c r="U30" s="180">
        <v>64.1</v>
      </c>
      <c r="V30" s="180">
        <v>67.5</v>
      </c>
      <c r="W30" s="180">
        <v>70.5</v>
      </c>
      <c r="X30" s="295">
        <f t="shared" si="3"/>
        <v>4.444444444444451</v>
      </c>
      <c r="Y30" s="126" t="s">
        <v>24</v>
      </c>
      <c r="AA30" s="98"/>
    </row>
    <row r="31" spans="1:27" ht="12.75" customHeight="1">
      <c r="A31" s="18"/>
      <c r="B31" s="20" t="s">
        <v>26</v>
      </c>
      <c r="C31" s="166" t="s">
        <v>45</v>
      </c>
      <c r="D31" s="166" t="s">
        <v>45</v>
      </c>
      <c r="E31" s="169">
        <v>13.32</v>
      </c>
      <c r="F31" s="169">
        <v>12.606</v>
      </c>
      <c r="G31" s="169">
        <v>13.386</v>
      </c>
      <c r="H31" s="169">
        <v>13.979</v>
      </c>
      <c r="I31" s="169">
        <v>15.178</v>
      </c>
      <c r="J31" s="169">
        <v>16.338</v>
      </c>
      <c r="K31" s="169">
        <v>17.794</v>
      </c>
      <c r="L31" s="169">
        <v>19.011</v>
      </c>
      <c r="M31" s="169">
        <v>18.98</v>
      </c>
      <c r="N31" s="169">
        <v>20.074</v>
      </c>
      <c r="O31" s="169">
        <v>20.325</v>
      </c>
      <c r="P31" s="169">
        <v>20.801</v>
      </c>
      <c r="Q31" s="169">
        <v>21.287</v>
      </c>
      <c r="R31" s="169">
        <v>21.331</v>
      </c>
      <c r="S31" s="168">
        <v>22.042</v>
      </c>
      <c r="T31" s="168">
        <v>22.509</v>
      </c>
      <c r="U31" s="168">
        <v>23.006</v>
      </c>
      <c r="V31" s="168">
        <v>24.335</v>
      </c>
      <c r="W31" s="168">
        <v>24.878</v>
      </c>
      <c r="X31" s="294">
        <f t="shared" si="3"/>
        <v>2.2313540168481527</v>
      </c>
      <c r="Y31" s="20" t="s">
        <v>26</v>
      </c>
      <c r="AA31" s="98"/>
    </row>
    <row r="32" spans="1:27" ht="12.75" customHeight="1">
      <c r="A32" s="18"/>
      <c r="B32" s="126" t="s">
        <v>25</v>
      </c>
      <c r="C32" s="184"/>
      <c r="D32" s="184"/>
      <c r="E32" s="185"/>
      <c r="F32" s="179"/>
      <c r="G32" s="179"/>
      <c r="H32" s="179">
        <v>17.554</v>
      </c>
      <c r="I32" s="179">
        <v>17.293</v>
      </c>
      <c r="J32" s="179">
        <v>17.977</v>
      </c>
      <c r="K32" s="179">
        <v>17.993</v>
      </c>
      <c r="L32" s="179">
        <v>18.568</v>
      </c>
      <c r="M32" s="179">
        <v>19.302</v>
      </c>
      <c r="N32" s="179">
        <v>21.541</v>
      </c>
      <c r="O32" s="179">
        <v>23.929</v>
      </c>
      <c r="P32" s="179">
        <v>24.056</v>
      </c>
      <c r="Q32" s="179">
        <v>24.978</v>
      </c>
      <c r="R32" s="179">
        <v>25.224</v>
      </c>
      <c r="S32" s="179">
        <v>25.332</v>
      </c>
      <c r="T32" s="179">
        <v>25.824</v>
      </c>
      <c r="U32" s="179">
        <v>26.342</v>
      </c>
      <c r="V32" s="179">
        <v>25.994</v>
      </c>
      <c r="W32" s="179">
        <v>26.395</v>
      </c>
      <c r="X32" s="296">
        <f t="shared" si="3"/>
        <v>1.542663691621149</v>
      </c>
      <c r="Y32" s="126" t="s">
        <v>25</v>
      </c>
      <c r="AA32" s="98"/>
    </row>
    <row r="33" spans="1:27" ht="12.75" customHeight="1">
      <c r="A33" s="18"/>
      <c r="B33" s="20" t="s">
        <v>42</v>
      </c>
      <c r="C33" s="166">
        <v>23.7</v>
      </c>
      <c r="D33" s="166">
        <v>34.8</v>
      </c>
      <c r="E33" s="168">
        <v>51.2</v>
      </c>
      <c r="F33" s="168">
        <v>50.6</v>
      </c>
      <c r="G33" s="168">
        <v>50.5</v>
      </c>
      <c r="H33" s="168">
        <v>49.7</v>
      </c>
      <c r="I33" s="168">
        <v>49.6</v>
      </c>
      <c r="J33" s="168">
        <v>50</v>
      </c>
      <c r="K33" s="168">
        <v>50.4</v>
      </c>
      <c r="L33" s="168">
        <v>51.9</v>
      </c>
      <c r="M33" s="168">
        <v>53.3</v>
      </c>
      <c r="N33" s="168">
        <v>54.9</v>
      </c>
      <c r="O33" s="168">
        <v>55.7</v>
      </c>
      <c r="P33" s="168">
        <v>57</v>
      </c>
      <c r="Q33" s="168">
        <v>58.3</v>
      </c>
      <c r="R33" s="168">
        <v>59.59</v>
      </c>
      <c r="S33" s="168">
        <v>60.94</v>
      </c>
      <c r="T33" s="168">
        <v>61.91</v>
      </c>
      <c r="U33" s="168">
        <v>62.455</v>
      </c>
      <c r="V33" s="168">
        <v>63.785</v>
      </c>
      <c r="W33" s="168">
        <v>63.4</v>
      </c>
      <c r="X33" s="294">
        <f t="shared" si="3"/>
        <v>-0.6035901857803561</v>
      </c>
      <c r="Y33" s="20" t="s">
        <v>42</v>
      </c>
      <c r="AA33" s="98"/>
    </row>
    <row r="34" spans="1:27" ht="12.75" customHeight="1">
      <c r="A34" s="18"/>
      <c r="B34" s="126" t="s">
        <v>43</v>
      </c>
      <c r="C34" s="177">
        <v>56.1</v>
      </c>
      <c r="D34" s="178">
        <v>67.4</v>
      </c>
      <c r="E34" s="179">
        <v>85.945</v>
      </c>
      <c r="F34" s="179">
        <v>86.494</v>
      </c>
      <c r="G34" s="179">
        <v>87.552</v>
      </c>
      <c r="H34" s="179">
        <v>85.683</v>
      </c>
      <c r="I34" s="179">
        <v>86.65</v>
      </c>
      <c r="J34" s="179">
        <v>87.622</v>
      </c>
      <c r="K34" s="179">
        <v>87.983</v>
      </c>
      <c r="L34" s="179">
        <v>88.107</v>
      </c>
      <c r="M34" s="179">
        <v>88.811</v>
      </c>
      <c r="N34" s="179">
        <v>90.754</v>
      </c>
      <c r="O34" s="179">
        <v>91.868</v>
      </c>
      <c r="P34" s="179">
        <v>92.78</v>
      </c>
      <c r="Q34" s="179">
        <v>95.42</v>
      </c>
      <c r="R34" s="179">
        <v>96.32</v>
      </c>
      <c r="S34" s="179">
        <v>96.98</v>
      </c>
      <c r="T34" s="179">
        <v>97.31</v>
      </c>
      <c r="U34" s="179">
        <v>96.988</v>
      </c>
      <c r="V34" s="179">
        <v>99.315</v>
      </c>
      <c r="W34" s="179">
        <v>98.422</v>
      </c>
      <c r="X34" s="296">
        <f t="shared" si="3"/>
        <v>-0.8991592407994742</v>
      </c>
      <c r="Y34" s="126" t="s">
        <v>43</v>
      </c>
      <c r="AA34" s="98"/>
    </row>
    <row r="35" spans="1:27" ht="12.75" customHeight="1">
      <c r="A35" s="18"/>
      <c r="B35" s="21" t="s">
        <v>31</v>
      </c>
      <c r="C35" s="166">
        <v>297</v>
      </c>
      <c r="D35" s="166">
        <v>388</v>
      </c>
      <c r="E35" s="168">
        <v>588</v>
      </c>
      <c r="F35" s="168">
        <v>582</v>
      </c>
      <c r="G35" s="168">
        <v>583</v>
      </c>
      <c r="H35" s="167">
        <v>584</v>
      </c>
      <c r="I35" s="168">
        <v>614</v>
      </c>
      <c r="J35" s="173">
        <v>618</v>
      </c>
      <c r="K35" s="173">
        <v>622</v>
      </c>
      <c r="L35" s="168">
        <v>632</v>
      </c>
      <c r="M35" s="168">
        <v>636</v>
      </c>
      <c r="N35" s="168">
        <v>642</v>
      </c>
      <c r="O35" s="168">
        <v>640</v>
      </c>
      <c r="P35" s="168">
        <v>654</v>
      </c>
      <c r="Q35" s="168">
        <v>677</v>
      </c>
      <c r="R35" s="168">
        <v>673</v>
      </c>
      <c r="S35" s="168">
        <v>678</v>
      </c>
      <c r="T35" s="168">
        <v>674</v>
      </c>
      <c r="U35" s="168">
        <v>682</v>
      </c>
      <c r="V35" s="168">
        <v>685</v>
      </c>
      <c r="W35" s="165">
        <v>679</v>
      </c>
      <c r="X35" s="297">
        <f t="shared" si="3"/>
        <v>-0.8759124087591275</v>
      </c>
      <c r="Y35" s="21" t="s">
        <v>31</v>
      </c>
      <c r="AA35" s="98"/>
    </row>
    <row r="36" spans="1:27" ht="12.75" customHeight="1">
      <c r="A36" s="18"/>
      <c r="B36" s="126" t="s">
        <v>50</v>
      </c>
      <c r="C36" s="188"/>
      <c r="D36" s="188"/>
      <c r="E36" s="189"/>
      <c r="F36" s="189"/>
      <c r="G36" s="189"/>
      <c r="H36" s="189"/>
      <c r="I36" s="189"/>
      <c r="J36" s="190">
        <v>12.5</v>
      </c>
      <c r="K36" s="190">
        <v>14.75</v>
      </c>
      <c r="L36" s="190">
        <v>16.5</v>
      </c>
      <c r="M36" s="190">
        <v>17.5</v>
      </c>
      <c r="N36" s="190">
        <v>19</v>
      </c>
      <c r="O36" s="190">
        <v>20</v>
      </c>
      <c r="P36" s="190">
        <v>21</v>
      </c>
      <c r="Q36" s="190">
        <v>22</v>
      </c>
      <c r="R36" s="190">
        <v>22.5</v>
      </c>
      <c r="S36" s="190">
        <v>23.5</v>
      </c>
      <c r="T36" s="190">
        <v>24</v>
      </c>
      <c r="U36" s="190">
        <v>25</v>
      </c>
      <c r="V36" s="190">
        <v>26</v>
      </c>
      <c r="W36" s="190">
        <v>27</v>
      </c>
      <c r="X36" s="298">
        <f t="shared" si="3"/>
        <v>3.8461538461538547</v>
      </c>
      <c r="Y36" s="126" t="s">
        <v>50</v>
      </c>
      <c r="AA36" s="98"/>
    </row>
    <row r="37" spans="1:27" s="356" customFormat="1" ht="12.75" customHeight="1">
      <c r="A37" s="352"/>
      <c r="B37" s="20" t="s">
        <v>9</v>
      </c>
      <c r="C37" s="358"/>
      <c r="D37" s="358"/>
      <c r="E37" s="64"/>
      <c r="F37" s="64"/>
      <c r="G37" s="64"/>
      <c r="H37" s="363"/>
      <c r="I37" s="363"/>
      <c r="J37" s="82">
        <v>3.7</v>
      </c>
      <c r="K37" s="82">
        <v>3.8</v>
      </c>
      <c r="L37" s="82">
        <v>3.9</v>
      </c>
      <c r="M37" s="82">
        <v>4</v>
      </c>
      <c r="N37" s="82">
        <v>4.1</v>
      </c>
      <c r="O37" s="82">
        <v>4.2</v>
      </c>
      <c r="P37" s="82">
        <v>4</v>
      </c>
      <c r="Q37" s="82">
        <v>4.1</v>
      </c>
      <c r="R37" s="82">
        <v>4.25</v>
      </c>
      <c r="S37" s="82">
        <v>4.4</v>
      </c>
      <c r="T37" s="82">
        <v>4.5</v>
      </c>
      <c r="U37" s="82">
        <v>4.6</v>
      </c>
      <c r="V37" s="82">
        <v>4.7</v>
      </c>
      <c r="W37" s="82">
        <v>5</v>
      </c>
      <c r="X37" s="361">
        <f t="shared" si="3"/>
        <v>6.382978723404253</v>
      </c>
      <c r="Y37" s="20" t="s">
        <v>9</v>
      </c>
      <c r="AA37" s="357"/>
    </row>
    <row r="38" spans="1:27" ht="12.75" customHeight="1">
      <c r="A38" s="18"/>
      <c r="B38" s="127" t="s">
        <v>27</v>
      </c>
      <c r="C38" s="186" t="s">
        <v>45</v>
      </c>
      <c r="D38" s="186" t="s">
        <v>45</v>
      </c>
      <c r="E38" s="187">
        <v>34.325</v>
      </c>
      <c r="F38" s="187">
        <v>33.58</v>
      </c>
      <c r="G38" s="187">
        <v>36.889</v>
      </c>
      <c r="H38" s="187">
        <v>41.848</v>
      </c>
      <c r="I38" s="187">
        <v>45.736</v>
      </c>
      <c r="J38" s="187">
        <v>52.652</v>
      </c>
      <c r="K38" s="187">
        <v>57.486</v>
      </c>
      <c r="L38" s="191">
        <v>62.5</v>
      </c>
      <c r="M38" s="191">
        <v>67.5</v>
      </c>
      <c r="N38" s="191">
        <v>72.5</v>
      </c>
      <c r="O38" s="191">
        <v>79</v>
      </c>
      <c r="P38" s="191">
        <v>81</v>
      </c>
      <c r="Q38" s="191">
        <v>82</v>
      </c>
      <c r="R38" s="191">
        <v>84</v>
      </c>
      <c r="S38" s="191">
        <v>95</v>
      </c>
      <c r="T38" s="191">
        <v>100</v>
      </c>
      <c r="U38" s="191">
        <v>108</v>
      </c>
      <c r="V38" s="191">
        <v>114</v>
      </c>
      <c r="W38" s="191">
        <v>120</v>
      </c>
      <c r="X38" s="299">
        <f t="shared" si="3"/>
        <v>5.263157894736836</v>
      </c>
      <c r="Y38" s="127" t="s">
        <v>27</v>
      </c>
      <c r="AA38" s="98"/>
    </row>
    <row r="39" spans="1:27" ht="12.75" customHeight="1">
      <c r="A39" s="18"/>
      <c r="B39" s="20" t="s">
        <v>13</v>
      </c>
      <c r="C39" s="170" t="s">
        <v>45</v>
      </c>
      <c r="D39" s="170" t="s">
        <v>45</v>
      </c>
      <c r="E39" s="171" t="s">
        <v>45</v>
      </c>
      <c r="F39" s="171"/>
      <c r="G39" s="171"/>
      <c r="H39" s="171"/>
      <c r="I39" s="171"/>
      <c r="J39" s="171">
        <v>3.026</v>
      </c>
      <c r="K39" s="171">
        <v>3.168</v>
      </c>
      <c r="L39" s="171">
        <v>3.36</v>
      </c>
      <c r="M39" s="171">
        <v>3.561</v>
      </c>
      <c r="N39" s="171">
        <v>3.712</v>
      </c>
      <c r="O39" s="171">
        <v>3.765</v>
      </c>
      <c r="P39" s="171">
        <v>3.95</v>
      </c>
      <c r="Q39" s="171">
        <v>4.06</v>
      </c>
      <c r="R39" s="171">
        <v>4.174</v>
      </c>
      <c r="S39" s="171">
        <v>4.301</v>
      </c>
      <c r="T39" s="171">
        <v>4.558</v>
      </c>
      <c r="U39" s="168">
        <v>4.866</v>
      </c>
      <c r="V39" s="168">
        <v>5.075</v>
      </c>
      <c r="W39" s="171">
        <v>4.943</v>
      </c>
      <c r="X39" s="294">
        <f t="shared" si="3"/>
        <v>-2.6009852216748897</v>
      </c>
      <c r="Y39" s="20" t="s">
        <v>13</v>
      </c>
      <c r="AA39" s="98"/>
    </row>
    <row r="40" spans="1:27" ht="12.75" customHeight="1">
      <c r="A40" s="18"/>
      <c r="B40" s="126" t="s">
        <v>44</v>
      </c>
      <c r="C40" s="177">
        <v>18.21</v>
      </c>
      <c r="D40" s="177">
        <v>31.061</v>
      </c>
      <c r="E40" s="179">
        <v>43.497</v>
      </c>
      <c r="F40" s="179">
        <v>43.012</v>
      </c>
      <c r="G40" s="179">
        <v>43.172000000000004</v>
      </c>
      <c r="H40" s="179">
        <v>43.943</v>
      </c>
      <c r="I40" s="179">
        <v>44.532999999999994</v>
      </c>
      <c r="J40" s="179">
        <v>44.73</v>
      </c>
      <c r="K40" s="179">
        <v>46.429</v>
      </c>
      <c r="L40" s="179">
        <v>47.658</v>
      </c>
      <c r="M40" s="179">
        <v>49.266</v>
      </c>
      <c r="N40" s="179">
        <v>50.330999999999996</v>
      </c>
      <c r="O40" s="179">
        <v>51.172999999999995</v>
      </c>
      <c r="P40" s="179">
        <v>52.357</v>
      </c>
      <c r="Q40" s="179">
        <v>53.487</v>
      </c>
      <c r="R40" s="179">
        <v>54.002</v>
      </c>
      <c r="S40" s="179">
        <v>54.342</v>
      </c>
      <c r="T40" s="179">
        <v>54.026999999999994</v>
      </c>
      <c r="U40" s="179">
        <v>54.938</v>
      </c>
      <c r="V40" s="179">
        <v>56.674</v>
      </c>
      <c r="W40" s="179">
        <v>57.74300000000001</v>
      </c>
      <c r="X40" s="296">
        <f t="shared" si="3"/>
        <v>1.8862264883368285</v>
      </c>
      <c r="Y40" s="126" t="s">
        <v>44</v>
      </c>
      <c r="AA40" s="98"/>
    </row>
    <row r="41" spans="1:27" ht="12.75" customHeight="1">
      <c r="A41" s="18"/>
      <c r="B41" s="21" t="s">
        <v>14</v>
      </c>
      <c r="C41" s="172">
        <v>41.836</v>
      </c>
      <c r="D41" s="172">
        <v>61.817</v>
      </c>
      <c r="E41" s="173">
        <v>73.271</v>
      </c>
      <c r="F41" s="173">
        <v>74.744</v>
      </c>
      <c r="G41" s="173">
        <v>73.372</v>
      </c>
      <c r="H41" s="173">
        <v>71.417</v>
      </c>
      <c r="I41" s="173">
        <v>73.44</v>
      </c>
      <c r="J41" s="173">
        <v>73.492</v>
      </c>
      <c r="K41" s="173">
        <v>74.498</v>
      </c>
      <c r="L41" s="173">
        <v>74.875</v>
      </c>
      <c r="M41" s="173">
        <v>75.821</v>
      </c>
      <c r="N41" s="173">
        <v>77.009</v>
      </c>
      <c r="O41" s="173">
        <v>78.625</v>
      </c>
      <c r="P41" s="173">
        <v>78.871</v>
      </c>
      <c r="Q41" s="173">
        <v>79.592</v>
      </c>
      <c r="R41" s="173">
        <v>80.179</v>
      </c>
      <c r="S41" s="173">
        <v>80.848</v>
      </c>
      <c r="T41" s="173">
        <v>81.422</v>
      </c>
      <c r="U41" s="173">
        <v>81.888</v>
      </c>
      <c r="V41" s="173">
        <v>82.489</v>
      </c>
      <c r="W41" s="173">
        <v>83.573</v>
      </c>
      <c r="X41" s="300">
        <f t="shared" si="3"/>
        <v>1.314114609220618</v>
      </c>
      <c r="Y41" s="21" t="s">
        <v>14</v>
      </c>
      <c r="AA41" s="98"/>
    </row>
    <row r="42" spans="1:25" ht="15" customHeight="1">
      <c r="A42" s="18"/>
      <c r="B42" s="33" t="s">
        <v>104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90"/>
      <c r="U42" s="90"/>
      <c r="V42" s="90"/>
      <c r="W42" s="90"/>
      <c r="Y42" s="90"/>
    </row>
    <row r="43" spans="2:24" ht="12.75" customHeight="1">
      <c r="B43" s="351" t="s">
        <v>8</v>
      </c>
      <c r="C43" s="60"/>
      <c r="D43" s="61"/>
      <c r="E43" s="62"/>
      <c r="F43" s="62"/>
      <c r="G43" s="62"/>
      <c r="H43" s="36"/>
      <c r="I43" s="62"/>
      <c r="J43" s="61"/>
      <c r="K43" s="36"/>
      <c r="L43" s="62"/>
      <c r="M43" s="62"/>
      <c r="N43" s="61"/>
      <c r="O43" s="61"/>
      <c r="P43" s="62"/>
      <c r="Q43" s="62"/>
      <c r="R43" s="63"/>
      <c r="S43" s="63"/>
      <c r="T43" s="63"/>
      <c r="U43" s="63"/>
      <c r="V43" s="63"/>
      <c r="W43" s="63"/>
      <c r="X43" s="37"/>
    </row>
    <row r="44" ht="12.75" customHeight="1">
      <c r="B44" s="27" t="s">
        <v>124</v>
      </c>
    </row>
    <row r="45" spans="2:10" ht="12.75" customHeight="1">
      <c r="B45" s="56" t="s">
        <v>93</v>
      </c>
      <c r="C45" s="12"/>
      <c r="D45" s="12"/>
      <c r="E45" s="12"/>
      <c r="F45" s="12"/>
      <c r="G45" s="12"/>
      <c r="H45" s="12"/>
      <c r="I45" s="12"/>
      <c r="J45" s="12"/>
    </row>
    <row r="46" spans="2:10" ht="12.75" customHeight="1">
      <c r="B46" s="77" t="s">
        <v>95</v>
      </c>
      <c r="C46" s="12"/>
      <c r="D46" s="12"/>
      <c r="E46" s="12"/>
      <c r="F46" s="12"/>
      <c r="G46" s="12"/>
      <c r="H46" s="12"/>
      <c r="I46" s="12"/>
      <c r="J46" s="12"/>
    </row>
    <row r="47" spans="2:10" ht="12.75" customHeight="1">
      <c r="B47" s="12"/>
      <c r="C47" s="77" t="s">
        <v>94</v>
      </c>
      <c r="D47" s="12"/>
      <c r="E47" s="12"/>
      <c r="F47" s="12"/>
      <c r="G47" s="12"/>
      <c r="H47" s="12"/>
      <c r="I47" s="12"/>
      <c r="J47" s="12"/>
    </row>
    <row r="48" spans="4:10" ht="11.25">
      <c r="D48" s="12"/>
      <c r="E48" s="12"/>
      <c r="F48" s="12"/>
      <c r="G48" s="12"/>
      <c r="H48" s="12"/>
      <c r="I48" s="12"/>
      <c r="J48" s="12"/>
    </row>
    <row r="49" spans="3:24" ht="11.25">
      <c r="C49" s="12"/>
      <c r="D49" s="12"/>
      <c r="E49" s="12"/>
      <c r="F49" s="12"/>
      <c r="G49" s="12"/>
      <c r="H49" s="12"/>
      <c r="I49" s="12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</row>
  </sheetData>
  <mergeCells count="1">
    <mergeCell ref="B2:Y2"/>
  </mergeCells>
  <printOptions horizontalCentered="1"/>
  <pageMargins left="0.4724409448818898" right="0.2755905511811024" top="0.5118110236220472" bottom="0.275590551181102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/>
  <dimension ref="A1:AA52"/>
  <sheetViews>
    <sheetView workbookViewId="0" topLeftCell="A22">
      <selection activeCell="P52" sqref="P52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26" width="9.140625" style="3" customWidth="1"/>
    <col min="27" max="27" width="9.140625" style="144" customWidth="1"/>
    <col min="28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44"/>
      <c r="T1" s="44"/>
      <c r="U1" s="44"/>
      <c r="V1" s="44"/>
      <c r="W1" s="44"/>
      <c r="Y1" s="44" t="s">
        <v>53</v>
      </c>
    </row>
    <row r="2" spans="2:27" s="75" customFormat="1" ht="30" customHeight="1">
      <c r="B2" s="425" t="s">
        <v>58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AA2" s="145"/>
    </row>
    <row r="3" spans="3:25" ht="10.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W3" s="25" t="s">
        <v>7</v>
      </c>
      <c r="X3" s="6"/>
      <c r="Y3" s="25"/>
    </row>
    <row r="4" spans="2:25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17"/>
    </row>
    <row r="5" spans="2:25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17"/>
    </row>
    <row r="6" spans="2:25" ht="12.75" customHeight="1">
      <c r="B6" s="125" t="s">
        <v>79</v>
      </c>
      <c r="C6" s="203"/>
      <c r="D6" s="203"/>
      <c r="E6" s="204">
        <f>47.4+SUM(E9:E35)</f>
        <v>557.5265653963578</v>
      </c>
      <c r="F6" s="204"/>
      <c r="G6" s="204"/>
      <c r="H6" s="204"/>
      <c r="I6" s="204"/>
      <c r="J6" s="204">
        <f>SUM(J9:J35)</f>
        <v>499.8066829883459</v>
      </c>
      <c r="K6" s="204">
        <f>SUM(K9:K35)</f>
        <v>503.7473816424689</v>
      </c>
      <c r="L6" s="204">
        <f aca="true" t="shared" si="0" ref="L6:T6">SUM(L9:L35)</f>
        <v>504.50601824935836</v>
      </c>
      <c r="M6" s="204">
        <f t="shared" si="0"/>
        <v>512.5016213602288</v>
      </c>
      <c r="N6" s="204">
        <f t="shared" si="0"/>
        <v>515.1545506258374</v>
      </c>
      <c r="O6" s="204">
        <f t="shared" si="0"/>
        <v>518.2492801315416</v>
      </c>
      <c r="P6" s="204">
        <f t="shared" si="0"/>
        <v>519.7816254988263</v>
      </c>
      <c r="Q6" s="204">
        <f t="shared" si="0"/>
        <v>518.8602192126759</v>
      </c>
      <c r="R6" s="204">
        <f t="shared" si="0"/>
        <v>520.0873691636135</v>
      </c>
      <c r="S6" s="204">
        <f t="shared" si="0"/>
        <v>526.9073673285079</v>
      </c>
      <c r="T6" s="204">
        <f t="shared" si="0"/>
        <v>528.49788246</v>
      </c>
      <c r="U6" s="204">
        <f>SUM(U9:U35)</f>
        <v>527.8404740000001</v>
      </c>
      <c r="V6" s="204">
        <f>SUM(V9:V35)</f>
        <v>541.9616619999999</v>
      </c>
      <c r="W6" s="204">
        <f>SUM(W9:W35)</f>
        <v>546.7225000000001</v>
      </c>
      <c r="X6" s="301">
        <f>(W6/V6-1)*100</f>
        <v>0.8784455310789419</v>
      </c>
      <c r="Y6" s="125" t="s">
        <v>79</v>
      </c>
    </row>
    <row r="7" spans="1:25" ht="12.75" customHeight="1">
      <c r="A7" s="18"/>
      <c r="B7" s="126" t="s">
        <v>32</v>
      </c>
      <c r="C7" s="205">
        <f aca="true" t="shared" si="1" ref="C7:J7">SUM(C9,C12:C13,C15:C19,C23,C26:C27,C29,C33:C35)</f>
        <v>273.351</v>
      </c>
      <c r="D7" s="205">
        <f t="shared" si="1"/>
        <v>351.629</v>
      </c>
      <c r="E7" s="206">
        <f t="shared" si="1"/>
        <v>368.69456539635775</v>
      </c>
      <c r="F7" s="207">
        <f t="shared" si="1"/>
        <v>369.62287117954025</v>
      </c>
      <c r="G7" s="207">
        <f t="shared" si="1"/>
        <v>369.95857934124786</v>
      </c>
      <c r="H7" s="207">
        <f t="shared" si="1"/>
        <v>370.0092064737659</v>
      </c>
      <c r="I7" s="207">
        <f t="shared" si="1"/>
        <v>369.9803567300668</v>
      </c>
      <c r="J7" s="207">
        <f t="shared" si="1"/>
        <v>378.65218298834594</v>
      </c>
      <c r="K7" s="207">
        <f>SUM(K9,K12:K13,K15:K19,K23,K26:K27,K29,K33:K35)</f>
        <v>385.63888164246885</v>
      </c>
      <c r="L7" s="207">
        <f aca="true" t="shared" si="2" ref="L7:T7">SUM(L9,L12:L13,L15:L19,L23,L26:L27,L29,L33:L35)</f>
        <v>387.2542182493583</v>
      </c>
      <c r="M7" s="207">
        <f t="shared" si="2"/>
        <v>395.1795213602288</v>
      </c>
      <c r="N7" s="207">
        <f t="shared" si="2"/>
        <v>397.14175062583746</v>
      </c>
      <c r="O7" s="207">
        <f t="shared" si="2"/>
        <v>402.8915166315416</v>
      </c>
      <c r="P7" s="207">
        <f t="shared" si="2"/>
        <v>404.31868827882624</v>
      </c>
      <c r="Q7" s="207">
        <f t="shared" si="2"/>
        <v>403.67993084267584</v>
      </c>
      <c r="R7" s="207">
        <f t="shared" si="2"/>
        <v>407.2355747636135</v>
      </c>
      <c r="S7" s="207">
        <f t="shared" si="2"/>
        <v>416.33860409850786</v>
      </c>
      <c r="T7" s="207">
        <f t="shared" si="2"/>
        <v>417.5830000000001</v>
      </c>
      <c r="U7" s="207">
        <f>SUM(U9,U12:U13,U15:U19,U23,U26:U27,U29,U33:U35)</f>
        <v>418.11690000000004</v>
      </c>
      <c r="V7" s="207">
        <f>SUM(V9,V12:V13,V15:V19,V23,V26:V27,V29,V33:V35)</f>
        <v>432.97670000000005</v>
      </c>
      <c r="W7" s="207">
        <f>SUM(W9,W12:W13,W15:W19,W23,W26:W27,W29,W33:W35)</f>
        <v>436.37300000000005</v>
      </c>
      <c r="X7" s="302">
        <f aca="true" t="shared" si="3" ref="X7:X41">(W7/V7-1)*100</f>
        <v>0.7844071055093771</v>
      </c>
      <c r="Y7" s="126" t="s">
        <v>32</v>
      </c>
    </row>
    <row r="8" spans="1:25" ht="12.75" customHeight="1">
      <c r="A8" s="18"/>
      <c r="B8" s="127" t="s">
        <v>92</v>
      </c>
      <c r="C8" s="208"/>
      <c r="D8" s="208"/>
      <c r="E8" s="209">
        <f>47.4+SUM(E10,E11,E14,E20,E21,E22,E24,E25,E28,E30,E31,E32)</f>
        <v>188.83200000000002</v>
      </c>
      <c r="F8" s="209"/>
      <c r="G8" s="209"/>
      <c r="H8" s="209"/>
      <c r="I8" s="209"/>
      <c r="J8" s="209">
        <f aca="true" t="shared" si="4" ref="J8:U8">SUM(J10,J11,J14,J20,J21,J22,J24,J25,J28,J30,J31,J32)</f>
        <v>121.15450000000001</v>
      </c>
      <c r="K8" s="209">
        <f t="shared" si="4"/>
        <v>118.1085</v>
      </c>
      <c r="L8" s="209">
        <f t="shared" si="4"/>
        <v>117.2518</v>
      </c>
      <c r="M8" s="209">
        <f t="shared" si="4"/>
        <v>117.3221</v>
      </c>
      <c r="N8" s="209">
        <f t="shared" si="4"/>
        <v>118.0128</v>
      </c>
      <c r="O8" s="209">
        <f t="shared" si="4"/>
        <v>115.35776349999999</v>
      </c>
      <c r="P8" s="209">
        <f t="shared" si="4"/>
        <v>115.46293722</v>
      </c>
      <c r="Q8" s="209">
        <f t="shared" si="4"/>
        <v>115.18028837</v>
      </c>
      <c r="R8" s="209">
        <f t="shared" si="4"/>
        <v>112.85179439999999</v>
      </c>
      <c r="S8" s="209">
        <f t="shared" si="4"/>
        <v>110.56876323</v>
      </c>
      <c r="T8" s="209">
        <f t="shared" si="4"/>
        <v>110.91488245999999</v>
      </c>
      <c r="U8" s="209">
        <f t="shared" si="4"/>
        <v>109.72357399999999</v>
      </c>
      <c r="V8" s="209">
        <f>SUM(V10,V11,V14,V20,V21,V22,V24,V25,V28,V30,V31,V32)</f>
        <v>108.98496200000001</v>
      </c>
      <c r="W8" s="209">
        <f>SUM(W10,W11,W14,W20,W21,W22,W24,W25,W28,W30,W31,W32)</f>
        <v>110.3495</v>
      </c>
      <c r="X8" s="303">
        <f t="shared" si="3"/>
        <v>1.252042460683711</v>
      </c>
      <c r="Y8" s="127" t="s">
        <v>92</v>
      </c>
    </row>
    <row r="9" spans="1:27" s="356" customFormat="1" ht="12.75" customHeight="1">
      <c r="A9" s="352"/>
      <c r="B9" s="20" t="s">
        <v>33</v>
      </c>
      <c r="C9" s="358">
        <v>12.153</v>
      </c>
      <c r="D9" s="358">
        <v>14.422</v>
      </c>
      <c r="E9" s="64">
        <v>11.371</v>
      </c>
      <c r="F9" s="64">
        <v>11.929</v>
      </c>
      <c r="G9" s="64">
        <v>12.209</v>
      </c>
      <c r="H9" s="64">
        <v>12.449</v>
      </c>
      <c r="I9" s="64">
        <v>12.921</v>
      </c>
      <c r="J9" s="64">
        <v>13.116</v>
      </c>
      <c r="K9" s="64">
        <v>13.048</v>
      </c>
      <c r="L9" s="64">
        <v>13.062</v>
      </c>
      <c r="M9" s="64">
        <v>13.264</v>
      </c>
      <c r="N9" s="82">
        <v>13.442</v>
      </c>
      <c r="O9" s="64">
        <v>13.298</v>
      </c>
      <c r="P9" s="64">
        <v>13.785</v>
      </c>
      <c r="Q9" s="64">
        <v>14.959</v>
      </c>
      <c r="R9" s="64">
        <v>16.484</v>
      </c>
      <c r="S9" s="64">
        <v>17.143</v>
      </c>
      <c r="T9" s="64">
        <v>17.515</v>
      </c>
      <c r="U9" s="64">
        <v>18.078</v>
      </c>
      <c r="V9" s="64">
        <v>20.22</v>
      </c>
      <c r="W9" s="64">
        <v>20.37</v>
      </c>
      <c r="X9" s="355">
        <f t="shared" si="3"/>
        <v>0.7418397626112849</v>
      </c>
      <c r="Y9" s="20" t="s">
        <v>33</v>
      </c>
      <c r="AA9" s="366"/>
    </row>
    <row r="10" spans="1:25" ht="12.75" customHeight="1">
      <c r="A10" s="18"/>
      <c r="B10" s="126" t="s">
        <v>15</v>
      </c>
      <c r="C10" s="177">
        <v>12.235</v>
      </c>
      <c r="D10" s="177">
        <v>21.614</v>
      </c>
      <c r="E10" s="179">
        <v>25.955</v>
      </c>
      <c r="F10" s="179">
        <v>19.026</v>
      </c>
      <c r="G10" s="179">
        <v>16.957</v>
      </c>
      <c r="H10" s="180">
        <v>14.062</v>
      </c>
      <c r="I10" s="180">
        <v>12.817</v>
      </c>
      <c r="J10" s="183">
        <v>11.566</v>
      </c>
      <c r="K10" s="183">
        <v>10.577</v>
      </c>
      <c r="L10" s="183">
        <v>11.863</v>
      </c>
      <c r="M10" s="183">
        <v>12.764</v>
      </c>
      <c r="N10" s="181">
        <v>14.741</v>
      </c>
      <c r="O10" s="181">
        <v>14.587</v>
      </c>
      <c r="P10" s="181">
        <v>14.963</v>
      </c>
      <c r="Q10" s="181">
        <v>16.985</v>
      </c>
      <c r="R10" s="181">
        <v>14.4</v>
      </c>
      <c r="S10" s="181">
        <v>13.029</v>
      </c>
      <c r="T10" s="179">
        <v>13.688</v>
      </c>
      <c r="U10" s="179">
        <v>12.942</v>
      </c>
      <c r="V10" s="179">
        <v>13.571</v>
      </c>
      <c r="W10" s="179">
        <v>13.839</v>
      </c>
      <c r="X10" s="296">
        <f t="shared" si="3"/>
        <v>1.9747992041853957</v>
      </c>
      <c r="Y10" s="126" t="s">
        <v>15</v>
      </c>
    </row>
    <row r="11" spans="1:27" s="356" customFormat="1" ht="12.75" customHeight="1">
      <c r="A11" s="352"/>
      <c r="B11" s="20" t="s">
        <v>17</v>
      </c>
      <c r="C11" s="353"/>
      <c r="D11" s="353"/>
      <c r="E11" s="354"/>
      <c r="F11" s="64" t="s">
        <v>45</v>
      </c>
      <c r="G11" s="64" t="s">
        <v>45</v>
      </c>
      <c r="H11" s="64">
        <v>13.617</v>
      </c>
      <c r="I11" s="359">
        <v>11.523</v>
      </c>
      <c r="J11" s="64">
        <v>18.6005</v>
      </c>
      <c r="K11" s="64">
        <v>16.6025</v>
      </c>
      <c r="L11" s="64">
        <v>15.610800000000001</v>
      </c>
      <c r="M11" s="64">
        <v>15.373099999999999</v>
      </c>
      <c r="N11" s="359">
        <v>15.4438</v>
      </c>
      <c r="O11" s="64">
        <v>16.171300000000002</v>
      </c>
      <c r="P11" s="64">
        <v>17.5193</v>
      </c>
      <c r="Q11" s="64">
        <v>16.5305</v>
      </c>
      <c r="R11" s="64">
        <v>16.4248</v>
      </c>
      <c r="S11" s="64">
        <v>15.218</v>
      </c>
      <c r="T11" s="64">
        <v>15.608099999999999</v>
      </c>
      <c r="U11" s="64">
        <v>16.015</v>
      </c>
      <c r="V11" s="64">
        <v>16.120800000000003</v>
      </c>
      <c r="W11" s="64">
        <v>16.0883</v>
      </c>
      <c r="X11" s="355">
        <f t="shared" si="3"/>
        <v>-0.20160289811921306</v>
      </c>
      <c r="Y11" s="20" t="s">
        <v>17</v>
      </c>
      <c r="AA11" s="366"/>
    </row>
    <row r="12" spans="1:25" ht="12.75" customHeight="1">
      <c r="A12" s="18"/>
      <c r="B12" s="126" t="s">
        <v>28</v>
      </c>
      <c r="C12" s="177">
        <v>4.6</v>
      </c>
      <c r="D12" s="177">
        <v>4.611</v>
      </c>
      <c r="E12" s="179">
        <v>6.443</v>
      </c>
      <c r="F12" s="179">
        <v>6.394</v>
      </c>
      <c r="G12" s="179">
        <v>6.421</v>
      </c>
      <c r="H12" s="179">
        <v>6.601</v>
      </c>
      <c r="I12" s="179">
        <v>6.745</v>
      </c>
      <c r="J12" s="179">
        <v>7.284</v>
      </c>
      <c r="K12" s="179">
        <v>7.717</v>
      </c>
      <c r="L12" s="179">
        <v>7.596</v>
      </c>
      <c r="M12" s="179">
        <v>7.543</v>
      </c>
      <c r="N12" s="179">
        <v>7.397</v>
      </c>
      <c r="O12" s="179">
        <v>7.418</v>
      </c>
      <c r="P12" s="179">
        <v>7.332</v>
      </c>
      <c r="Q12" s="179">
        <v>7.295</v>
      </c>
      <c r="R12" s="179">
        <v>7.272</v>
      </c>
      <c r="S12" s="179">
        <v>7.3</v>
      </c>
      <c r="T12" s="179">
        <v>7.288</v>
      </c>
      <c r="U12" s="179">
        <v>7.365</v>
      </c>
      <c r="V12" s="179">
        <v>7.384</v>
      </c>
      <c r="W12" s="179">
        <v>7.329</v>
      </c>
      <c r="X12" s="296">
        <f t="shared" si="3"/>
        <v>-0.7448537378114906</v>
      </c>
      <c r="Y12" s="126" t="s">
        <v>28</v>
      </c>
    </row>
    <row r="13" spans="1:27" s="356" customFormat="1" ht="12.75" customHeight="1">
      <c r="A13" s="352"/>
      <c r="B13" s="20" t="s">
        <v>34</v>
      </c>
      <c r="C13" s="358">
        <v>67.7</v>
      </c>
      <c r="D13" s="359">
        <v>90</v>
      </c>
      <c r="E13" s="64">
        <v>73.1</v>
      </c>
      <c r="F13" s="64">
        <v>70.3</v>
      </c>
      <c r="G13" s="64">
        <v>69.9</v>
      </c>
      <c r="H13" s="64">
        <v>70.2</v>
      </c>
      <c r="I13" s="64">
        <v>68.6</v>
      </c>
      <c r="J13" s="64">
        <v>68.5</v>
      </c>
      <c r="K13" s="64">
        <v>68.3</v>
      </c>
      <c r="L13" s="64">
        <v>68</v>
      </c>
      <c r="M13" s="64">
        <v>68.2</v>
      </c>
      <c r="N13" s="64">
        <v>68</v>
      </c>
      <c r="O13" s="64">
        <v>69</v>
      </c>
      <c r="P13" s="64">
        <v>68.7</v>
      </c>
      <c r="Q13" s="64">
        <v>67.5</v>
      </c>
      <c r="R13" s="64">
        <v>67.5</v>
      </c>
      <c r="S13" s="64">
        <v>67.807</v>
      </c>
      <c r="T13" s="64">
        <v>67.062</v>
      </c>
      <c r="U13" s="64">
        <v>66.184</v>
      </c>
      <c r="V13" s="64">
        <v>65.37100000000001</v>
      </c>
      <c r="W13" s="64">
        <v>63.52</v>
      </c>
      <c r="X13" s="355">
        <f t="shared" si="3"/>
        <v>-2.831530801119775</v>
      </c>
      <c r="Y13" s="20" t="s">
        <v>34</v>
      </c>
      <c r="AA13" s="366"/>
    </row>
    <row r="14" spans="1:25" ht="12.75" customHeight="1">
      <c r="A14" s="18"/>
      <c r="B14" s="126" t="s">
        <v>18</v>
      </c>
      <c r="C14" s="177">
        <v>2.61</v>
      </c>
      <c r="D14" s="177">
        <v>3.66</v>
      </c>
      <c r="E14" s="179">
        <v>4.45</v>
      </c>
      <c r="F14" s="179">
        <v>3.83</v>
      </c>
      <c r="G14" s="179">
        <v>2.97</v>
      </c>
      <c r="H14" s="179">
        <v>2.54</v>
      </c>
      <c r="I14" s="179">
        <v>2.35</v>
      </c>
      <c r="J14" s="179">
        <v>2.048</v>
      </c>
      <c r="K14" s="179">
        <v>2.091</v>
      </c>
      <c r="L14" s="179">
        <v>2.238</v>
      </c>
      <c r="M14" s="179">
        <v>2.265</v>
      </c>
      <c r="N14" s="179">
        <v>2.223</v>
      </c>
      <c r="O14" s="179">
        <v>2.63</v>
      </c>
      <c r="P14" s="179">
        <v>2.461</v>
      </c>
      <c r="Q14" s="179">
        <v>2.33</v>
      </c>
      <c r="R14" s="179">
        <v>2.297</v>
      </c>
      <c r="S14" s="179">
        <v>2.469</v>
      </c>
      <c r="T14" s="179">
        <v>2.716</v>
      </c>
      <c r="U14" s="179">
        <v>2.881</v>
      </c>
      <c r="V14" s="179">
        <v>2.677</v>
      </c>
      <c r="W14" s="179">
        <v>2.453</v>
      </c>
      <c r="X14" s="296">
        <f t="shared" si="3"/>
        <v>-8.367575644378045</v>
      </c>
      <c r="Y14" s="126" t="s">
        <v>18</v>
      </c>
    </row>
    <row r="15" spans="1:25" ht="12.75" customHeight="1">
      <c r="A15" s="18"/>
      <c r="B15" s="20" t="s">
        <v>37</v>
      </c>
      <c r="C15" s="166">
        <v>3.3</v>
      </c>
      <c r="D15" s="166">
        <v>4.5</v>
      </c>
      <c r="E15" s="168">
        <v>3.86</v>
      </c>
      <c r="F15" s="168">
        <v>4.1</v>
      </c>
      <c r="G15" s="168">
        <v>4.3</v>
      </c>
      <c r="H15" s="168">
        <v>4.49</v>
      </c>
      <c r="I15" s="168">
        <v>5</v>
      </c>
      <c r="J15" s="168">
        <v>5.15</v>
      </c>
      <c r="K15" s="168">
        <v>5.3</v>
      </c>
      <c r="L15" s="165">
        <v>5.5</v>
      </c>
      <c r="M15" s="165">
        <v>5.7</v>
      </c>
      <c r="N15" s="165">
        <v>5.9</v>
      </c>
      <c r="O15" s="165">
        <v>6.11</v>
      </c>
      <c r="P15" s="165">
        <v>6.26</v>
      </c>
      <c r="Q15" s="165">
        <v>6.35</v>
      </c>
      <c r="R15" s="165">
        <v>6.5</v>
      </c>
      <c r="S15" s="165">
        <v>6.55</v>
      </c>
      <c r="T15" s="165">
        <v>6.7</v>
      </c>
      <c r="U15" s="165">
        <v>6.9</v>
      </c>
      <c r="V15" s="165">
        <v>7.3</v>
      </c>
      <c r="W15" s="165">
        <v>7.5</v>
      </c>
      <c r="X15" s="297">
        <f t="shared" si="3"/>
        <v>2.7397260273972712</v>
      </c>
      <c r="Y15" s="20" t="s">
        <v>37</v>
      </c>
    </row>
    <row r="16" spans="1:25" ht="12.75" customHeight="1">
      <c r="A16" s="18"/>
      <c r="B16" s="126" t="s">
        <v>29</v>
      </c>
      <c r="C16" s="177">
        <v>9.425</v>
      </c>
      <c r="D16" s="177">
        <v>15.621</v>
      </c>
      <c r="E16" s="179">
        <v>17.718</v>
      </c>
      <c r="F16" s="179">
        <v>17.968</v>
      </c>
      <c r="G16" s="179">
        <v>18.549</v>
      </c>
      <c r="H16" s="179">
        <v>18.922</v>
      </c>
      <c r="I16" s="179">
        <v>19.578</v>
      </c>
      <c r="J16" s="179">
        <v>20.221</v>
      </c>
      <c r="K16" s="179">
        <v>20.449</v>
      </c>
      <c r="L16" s="179">
        <v>20.695</v>
      </c>
      <c r="M16" s="179">
        <v>21.2</v>
      </c>
      <c r="N16" s="179">
        <v>21.5</v>
      </c>
      <c r="O16" s="179">
        <v>21.7</v>
      </c>
      <c r="P16" s="180">
        <v>21.8</v>
      </c>
      <c r="Q16" s="180">
        <v>22</v>
      </c>
      <c r="R16" s="180">
        <v>21.95</v>
      </c>
      <c r="S16" s="180">
        <v>21.6</v>
      </c>
      <c r="T16" s="180">
        <v>21.7</v>
      </c>
      <c r="U16" s="180">
        <v>21.8</v>
      </c>
      <c r="V16" s="180">
        <v>22</v>
      </c>
      <c r="W16" s="180">
        <v>22.1</v>
      </c>
      <c r="X16" s="295">
        <f t="shared" si="3"/>
        <v>0.454545454545463</v>
      </c>
      <c r="Y16" s="126" t="s">
        <v>29</v>
      </c>
    </row>
    <row r="17" spans="1:25" ht="12.75" customHeight="1">
      <c r="A17" s="18"/>
      <c r="B17" s="20" t="s">
        <v>35</v>
      </c>
      <c r="C17" s="166">
        <v>20.911</v>
      </c>
      <c r="D17" s="166">
        <v>28.099</v>
      </c>
      <c r="E17" s="168">
        <v>33.36</v>
      </c>
      <c r="F17" s="168">
        <v>35.45</v>
      </c>
      <c r="G17" s="168">
        <v>35.52</v>
      </c>
      <c r="H17" s="168">
        <v>37.09</v>
      </c>
      <c r="I17" s="168">
        <v>38.13</v>
      </c>
      <c r="J17" s="168">
        <v>39.6</v>
      </c>
      <c r="K17" s="165">
        <v>44</v>
      </c>
      <c r="L17" s="168">
        <v>43.97</v>
      </c>
      <c r="M17" s="168">
        <v>49.4</v>
      </c>
      <c r="N17" s="168">
        <v>50</v>
      </c>
      <c r="O17" s="168">
        <v>50.278</v>
      </c>
      <c r="P17" s="168">
        <v>51.712</v>
      </c>
      <c r="Q17" s="168">
        <v>50.053</v>
      </c>
      <c r="R17" s="168">
        <v>49.209</v>
      </c>
      <c r="S17" s="168">
        <v>53.458</v>
      </c>
      <c r="T17" s="168">
        <v>53.176</v>
      </c>
      <c r="U17" s="168">
        <v>49.369</v>
      </c>
      <c r="V17" s="168">
        <v>59.163</v>
      </c>
      <c r="W17" s="168">
        <v>60.9</v>
      </c>
      <c r="X17" s="294">
        <f t="shared" si="3"/>
        <v>2.9359565944931942</v>
      </c>
      <c r="Y17" s="20" t="s">
        <v>35</v>
      </c>
    </row>
    <row r="18" spans="1:25" ht="12.75" customHeight="1">
      <c r="A18" s="18"/>
      <c r="B18" s="126" t="s">
        <v>36</v>
      </c>
      <c r="C18" s="177">
        <v>25.2</v>
      </c>
      <c r="D18" s="177">
        <v>38</v>
      </c>
      <c r="E18" s="179">
        <v>41.275</v>
      </c>
      <c r="F18" s="179">
        <v>42.897</v>
      </c>
      <c r="G18" s="179">
        <v>41.761</v>
      </c>
      <c r="H18" s="179">
        <v>41.985</v>
      </c>
      <c r="I18" s="179">
        <v>42.686</v>
      </c>
      <c r="J18" s="179">
        <v>41.591</v>
      </c>
      <c r="K18" s="179">
        <v>42.374</v>
      </c>
      <c r="L18" s="179">
        <v>41.976</v>
      </c>
      <c r="M18" s="179">
        <v>42.439</v>
      </c>
      <c r="N18" s="179">
        <v>41.641</v>
      </c>
      <c r="O18" s="179">
        <v>42.971</v>
      </c>
      <c r="P18" s="179">
        <v>41.35</v>
      </c>
      <c r="Q18" s="179">
        <v>42.169</v>
      </c>
      <c r="R18" s="179">
        <v>42.725</v>
      </c>
      <c r="S18" s="179">
        <v>44.015</v>
      </c>
      <c r="T18" s="179">
        <v>44.15</v>
      </c>
      <c r="U18" s="179">
        <v>44.868</v>
      </c>
      <c r="V18" s="179">
        <v>47.11</v>
      </c>
      <c r="W18" s="179">
        <v>48.553</v>
      </c>
      <c r="X18" s="296">
        <f t="shared" si="3"/>
        <v>3.0630439397155484</v>
      </c>
      <c r="Y18" s="126" t="s">
        <v>36</v>
      </c>
    </row>
    <row r="19" spans="1:27" s="356" customFormat="1" ht="12.75" customHeight="1">
      <c r="A19" s="352"/>
      <c r="B19" s="20" t="s">
        <v>38</v>
      </c>
      <c r="C19" s="358">
        <v>32.004</v>
      </c>
      <c r="D19" s="358">
        <v>57.836</v>
      </c>
      <c r="E19" s="64">
        <v>83.955</v>
      </c>
      <c r="F19" s="64">
        <v>84.69</v>
      </c>
      <c r="G19" s="64">
        <v>84.7</v>
      </c>
      <c r="H19" s="64">
        <v>81.45</v>
      </c>
      <c r="I19" s="64">
        <v>79.28</v>
      </c>
      <c r="J19" s="64">
        <v>87.147</v>
      </c>
      <c r="K19" s="64">
        <v>88.736</v>
      </c>
      <c r="L19" s="64">
        <v>90</v>
      </c>
      <c r="M19" s="64">
        <v>90.6</v>
      </c>
      <c r="N19" s="64">
        <v>92.153</v>
      </c>
      <c r="O19" s="64">
        <v>93.55</v>
      </c>
      <c r="P19" s="64">
        <v>95.594</v>
      </c>
      <c r="Q19" s="64">
        <v>97.146</v>
      </c>
      <c r="R19" s="64">
        <v>98.319</v>
      </c>
      <c r="S19" s="64">
        <v>99.76</v>
      </c>
      <c r="T19" s="64">
        <v>101.223</v>
      </c>
      <c r="U19" s="64">
        <v>103.04899999999999</v>
      </c>
      <c r="V19" s="64">
        <v>102.95599999999999</v>
      </c>
      <c r="W19" s="82">
        <v>103.912</v>
      </c>
      <c r="X19" s="361">
        <f t="shared" si="3"/>
        <v>0.9285520027973337</v>
      </c>
      <c r="Y19" s="20" t="s">
        <v>38</v>
      </c>
      <c r="AA19" s="366"/>
    </row>
    <row r="20" spans="1:25" ht="12.75" customHeight="1">
      <c r="A20" s="18"/>
      <c r="B20" s="126" t="s">
        <v>16</v>
      </c>
      <c r="C20" s="177" t="s">
        <v>45</v>
      </c>
      <c r="D20" s="177" t="s">
        <v>45</v>
      </c>
      <c r="E20" s="180">
        <v>0.8</v>
      </c>
      <c r="F20" s="179" t="s">
        <v>45</v>
      </c>
      <c r="G20" s="179" t="s">
        <v>45</v>
      </c>
      <c r="H20" s="179" t="s">
        <v>45</v>
      </c>
      <c r="I20" s="179" t="s">
        <v>45</v>
      </c>
      <c r="J20" s="180">
        <v>1</v>
      </c>
      <c r="K20" s="180">
        <v>1.04</v>
      </c>
      <c r="L20" s="180">
        <v>1.05</v>
      </c>
      <c r="M20" s="180">
        <v>1.06</v>
      </c>
      <c r="N20" s="180">
        <v>1.08</v>
      </c>
      <c r="O20" s="180">
        <v>1.12</v>
      </c>
      <c r="P20" s="180">
        <v>1.16</v>
      </c>
      <c r="Q20" s="180">
        <v>1.2</v>
      </c>
      <c r="R20" s="180">
        <v>1.28</v>
      </c>
      <c r="S20" s="180">
        <v>1.24</v>
      </c>
      <c r="T20" s="180">
        <v>1.26</v>
      </c>
      <c r="U20" s="180">
        <v>1.28</v>
      </c>
      <c r="V20" s="180">
        <v>1.3</v>
      </c>
      <c r="W20" s="180">
        <v>1.33</v>
      </c>
      <c r="X20" s="295">
        <f t="shared" si="3"/>
        <v>2.3076923076922995</v>
      </c>
      <c r="Y20" s="126" t="s">
        <v>16</v>
      </c>
    </row>
    <row r="21" spans="1:27" s="356" customFormat="1" ht="12.75" customHeight="1">
      <c r="A21" s="352"/>
      <c r="B21" s="20" t="s">
        <v>20</v>
      </c>
      <c r="C21" s="358">
        <v>3.28</v>
      </c>
      <c r="D21" s="358">
        <v>4.55</v>
      </c>
      <c r="E21" s="64">
        <v>5.862</v>
      </c>
      <c r="F21" s="359">
        <v>5.331</v>
      </c>
      <c r="G21" s="64">
        <v>2.583</v>
      </c>
      <c r="H21" s="64">
        <v>1.722</v>
      </c>
      <c r="I21" s="64">
        <v>1.795</v>
      </c>
      <c r="J21" s="64">
        <v>1.835</v>
      </c>
      <c r="K21" s="64">
        <v>1.606</v>
      </c>
      <c r="L21" s="64">
        <v>1.72</v>
      </c>
      <c r="M21" s="64">
        <v>1.903</v>
      </c>
      <c r="N21" s="64">
        <v>2.368</v>
      </c>
      <c r="O21" s="64">
        <v>2.348</v>
      </c>
      <c r="P21" s="64">
        <v>2.305</v>
      </c>
      <c r="Q21" s="64">
        <v>2.361</v>
      </c>
      <c r="R21" s="64">
        <v>2.55</v>
      </c>
      <c r="S21" s="64">
        <v>2.655</v>
      </c>
      <c r="T21" s="64">
        <v>2.891</v>
      </c>
      <c r="U21" s="64">
        <v>2.78</v>
      </c>
      <c r="V21" s="64">
        <v>2.644</v>
      </c>
      <c r="W21" s="64">
        <v>2.487</v>
      </c>
      <c r="X21" s="355">
        <f t="shared" si="3"/>
        <v>-5.9379727685325285</v>
      </c>
      <c r="Y21" s="20" t="s">
        <v>20</v>
      </c>
      <c r="AA21" s="366"/>
    </row>
    <row r="22" spans="1:25" ht="12.75" customHeight="1">
      <c r="A22" s="18"/>
      <c r="B22" s="126" t="s">
        <v>21</v>
      </c>
      <c r="C22" s="177" t="s">
        <v>45</v>
      </c>
      <c r="D22" s="177" t="s">
        <v>45</v>
      </c>
      <c r="E22" s="179">
        <v>7.889</v>
      </c>
      <c r="F22" s="179">
        <v>7.798</v>
      </c>
      <c r="G22" s="179">
        <v>6.392</v>
      </c>
      <c r="H22" s="179">
        <v>4.522</v>
      </c>
      <c r="I22" s="179">
        <v>4.627</v>
      </c>
      <c r="J22" s="179">
        <v>4.1690000000000005</v>
      </c>
      <c r="K22" s="179">
        <v>3.601</v>
      </c>
      <c r="L22" s="179">
        <v>3.1910000000000003</v>
      </c>
      <c r="M22" s="179">
        <v>2.964</v>
      </c>
      <c r="N22" s="179">
        <v>2.665</v>
      </c>
      <c r="O22" s="179">
        <v>2.755</v>
      </c>
      <c r="P22" s="179">
        <v>2.833</v>
      </c>
      <c r="Q22" s="179">
        <v>3.013</v>
      </c>
      <c r="R22" s="179">
        <v>2.987</v>
      </c>
      <c r="S22" s="179">
        <v>3.549</v>
      </c>
      <c r="T22" s="179">
        <v>3.691</v>
      </c>
      <c r="U22" s="179">
        <v>3.6959999999999997</v>
      </c>
      <c r="V22" s="179">
        <v>3.6201</v>
      </c>
      <c r="W22" s="179">
        <v>3.4212000000000002</v>
      </c>
      <c r="X22" s="296">
        <f t="shared" si="3"/>
        <v>-5.4943233612331</v>
      </c>
      <c r="Y22" s="126" t="s">
        <v>21</v>
      </c>
    </row>
    <row r="23" spans="1:27" s="356" customFormat="1" ht="12.75" customHeight="1">
      <c r="A23" s="352"/>
      <c r="B23" s="20" t="s">
        <v>39</v>
      </c>
      <c r="C23" s="360">
        <v>0.4</v>
      </c>
      <c r="D23" s="360">
        <v>0.44</v>
      </c>
      <c r="E23" s="82">
        <v>0.48</v>
      </c>
      <c r="F23" s="82">
        <v>0.49</v>
      </c>
      <c r="G23" s="82">
        <v>0.51</v>
      </c>
      <c r="H23" s="82">
        <v>0.52</v>
      </c>
      <c r="I23" s="82">
        <v>0.53</v>
      </c>
      <c r="J23" s="82">
        <v>0.54</v>
      </c>
      <c r="K23" s="82">
        <v>0.55</v>
      </c>
      <c r="L23" s="82">
        <v>0.56</v>
      </c>
      <c r="M23" s="82">
        <v>0.57</v>
      </c>
      <c r="N23" s="82">
        <v>0.58</v>
      </c>
      <c r="O23" s="82">
        <v>0.62</v>
      </c>
      <c r="P23" s="82">
        <v>0.66</v>
      </c>
      <c r="Q23" s="82">
        <v>0.72</v>
      </c>
      <c r="R23" s="82">
        <v>0.74</v>
      </c>
      <c r="S23" s="82">
        <v>0.77</v>
      </c>
      <c r="T23" s="82">
        <v>0.8</v>
      </c>
      <c r="U23" s="82">
        <v>0.82</v>
      </c>
      <c r="V23" s="82">
        <v>0.86</v>
      </c>
      <c r="W23" s="82">
        <v>0.91</v>
      </c>
      <c r="X23" s="361">
        <f t="shared" si="3"/>
        <v>5.813953488372103</v>
      </c>
      <c r="Y23" s="20" t="s">
        <v>39</v>
      </c>
      <c r="AA23" s="366"/>
    </row>
    <row r="24" spans="1:25" ht="12.75" customHeight="1">
      <c r="A24" s="18"/>
      <c r="B24" s="126" t="s">
        <v>19</v>
      </c>
      <c r="C24" s="177" t="s">
        <v>45</v>
      </c>
      <c r="D24" s="177" t="s">
        <v>45</v>
      </c>
      <c r="E24" s="179">
        <v>19.261</v>
      </c>
      <c r="F24" s="179">
        <v>17.332</v>
      </c>
      <c r="G24" s="179">
        <v>15.971</v>
      </c>
      <c r="H24" s="179">
        <v>15.8</v>
      </c>
      <c r="I24" s="179">
        <v>16.392</v>
      </c>
      <c r="J24" s="179">
        <v>16.605</v>
      </c>
      <c r="K24" s="179">
        <v>16.564</v>
      </c>
      <c r="L24" s="179">
        <v>16.632</v>
      </c>
      <c r="M24" s="179">
        <v>17.172</v>
      </c>
      <c r="N24" s="179">
        <v>17.796</v>
      </c>
      <c r="O24" s="179">
        <v>18.732</v>
      </c>
      <c r="P24" s="179">
        <v>18.617</v>
      </c>
      <c r="Q24" s="179">
        <v>18.898</v>
      </c>
      <c r="R24" s="179">
        <v>18.707</v>
      </c>
      <c r="S24" s="179">
        <v>18.223</v>
      </c>
      <c r="T24" s="179">
        <v>17.845</v>
      </c>
      <c r="U24" s="179">
        <v>17.93</v>
      </c>
      <c r="V24" s="179">
        <v>17.145</v>
      </c>
      <c r="W24" s="179">
        <v>17.654</v>
      </c>
      <c r="X24" s="296">
        <f t="shared" si="3"/>
        <v>2.968795567220761</v>
      </c>
      <c r="Y24" s="126" t="s">
        <v>19</v>
      </c>
    </row>
    <row r="25" spans="1:27" s="356" customFormat="1" ht="12.75" customHeight="1">
      <c r="A25" s="352"/>
      <c r="B25" s="20" t="s">
        <v>22</v>
      </c>
      <c r="C25" s="358" t="s">
        <v>45</v>
      </c>
      <c r="D25" s="358" t="s">
        <v>45</v>
      </c>
      <c r="E25" s="82">
        <v>0.4</v>
      </c>
      <c r="F25" s="64" t="s">
        <v>45</v>
      </c>
      <c r="G25" s="64" t="s">
        <v>45</v>
      </c>
      <c r="H25" s="64" t="s">
        <v>45</v>
      </c>
      <c r="I25" s="64" t="s">
        <v>45</v>
      </c>
      <c r="J25" s="82">
        <v>0.41</v>
      </c>
      <c r="K25" s="82">
        <v>0.42</v>
      </c>
      <c r="L25" s="82">
        <v>0.44</v>
      </c>
      <c r="M25" s="82">
        <v>0.45</v>
      </c>
      <c r="N25" s="82">
        <v>0.455</v>
      </c>
      <c r="O25" s="82">
        <v>0.46</v>
      </c>
      <c r="P25" s="82">
        <v>0.47</v>
      </c>
      <c r="Q25" s="82">
        <v>0.48</v>
      </c>
      <c r="R25" s="82">
        <v>0.49</v>
      </c>
      <c r="S25" s="82">
        <v>0.5</v>
      </c>
      <c r="T25" s="82">
        <v>0.49</v>
      </c>
      <c r="U25" s="82">
        <v>0.5</v>
      </c>
      <c r="V25" s="82">
        <v>0.505</v>
      </c>
      <c r="W25" s="82">
        <v>0.51</v>
      </c>
      <c r="X25" s="361">
        <f t="shared" si="3"/>
        <v>0.990099009900991</v>
      </c>
      <c r="Y25" s="20" t="s">
        <v>22</v>
      </c>
      <c r="AA25" s="366"/>
    </row>
    <row r="26" spans="1:25" ht="12.75" customHeight="1">
      <c r="A26" s="18"/>
      <c r="B26" s="92" t="s">
        <v>30</v>
      </c>
      <c r="C26" s="177">
        <v>9.5</v>
      </c>
      <c r="D26" s="178">
        <v>11.2</v>
      </c>
      <c r="E26" s="179">
        <v>13</v>
      </c>
      <c r="F26" s="183">
        <v>12.3</v>
      </c>
      <c r="G26" s="183">
        <v>13.2</v>
      </c>
      <c r="H26" s="183">
        <v>13.05</v>
      </c>
      <c r="I26" s="183">
        <v>12.15</v>
      </c>
      <c r="J26" s="183">
        <v>12</v>
      </c>
      <c r="K26" s="183">
        <v>11.85</v>
      </c>
      <c r="L26" s="183">
        <v>12</v>
      </c>
      <c r="M26" s="183">
        <v>11.7</v>
      </c>
      <c r="N26" s="183">
        <v>11.25</v>
      </c>
      <c r="O26" s="183">
        <v>11.25</v>
      </c>
      <c r="P26" s="180">
        <v>11.4</v>
      </c>
      <c r="Q26" s="183">
        <v>10.8</v>
      </c>
      <c r="R26" s="183">
        <v>11.25</v>
      </c>
      <c r="S26" s="183">
        <v>11.55</v>
      </c>
      <c r="T26" s="180">
        <v>11.75</v>
      </c>
      <c r="U26" s="180">
        <v>12</v>
      </c>
      <c r="V26" s="180">
        <v>12.25</v>
      </c>
      <c r="W26" s="180">
        <v>12.5</v>
      </c>
      <c r="X26" s="295">
        <f t="shared" si="3"/>
        <v>2.0408163265306145</v>
      </c>
      <c r="Y26" s="92" t="s">
        <v>30</v>
      </c>
    </row>
    <row r="27" spans="1:27" s="356" customFormat="1" ht="12.75" customHeight="1">
      <c r="A27" s="352"/>
      <c r="B27" s="20" t="s">
        <v>40</v>
      </c>
      <c r="C27" s="358">
        <v>9.1</v>
      </c>
      <c r="D27" s="358">
        <v>9.8</v>
      </c>
      <c r="E27" s="64">
        <v>7.969</v>
      </c>
      <c r="F27" s="64">
        <v>7.927</v>
      </c>
      <c r="G27" s="64">
        <v>8.089</v>
      </c>
      <c r="H27" s="64">
        <v>8.331</v>
      </c>
      <c r="I27" s="64">
        <v>8.479</v>
      </c>
      <c r="J27" s="64">
        <v>8.7</v>
      </c>
      <c r="K27" s="64">
        <v>8.699</v>
      </c>
      <c r="L27" s="64">
        <v>8.773</v>
      </c>
      <c r="M27" s="64">
        <v>8.936</v>
      </c>
      <c r="N27" s="64">
        <v>8.943</v>
      </c>
      <c r="O27" s="64">
        <v>9.224</v>
      </c>
      <c r="P27" s="64">
        <v>9.174</v>
      </c>
      <c r="Q27" s="64">
        <v>9.282</v>
      </c>
      <c r="R27" s="64">
        <v>9.453</v>
      </c>
      <c r="S27" s="64">
        <v>9.576</v>
      </c>
      <c r="T27" s="64">
        <v>9.319</v>
      </c>
      <c r="U27" s="64">
        <v>9.219</v>
      </c>
      <c r="V27" s="64">
        <v>9.79</v>
      </c>
      <c r="W27" s="64">
        <v>9.551</v>
      </c>
      <c r="X27" s="355">
        <f t="shared" si="3"/>
        <v>-2.4412665985699578</v>
      </c>
      <c r="Y27" s="20" t="s">
        <v>40</v>
      </c>
      <c r="AA27" s="366"/>
    </row>
    <row r="28" spans="1:25" ht="12.75" customHeight="1">
      <c r="A28" s="18"/>
      <c r="B28" s="126" t="s">
        <v>23</v>
      </c>
      <c r="C28" s="177">
        <v>29.14</v>
      </c>
      <c r="D28" s="177">
        <v>49.223</v>
      </c>
      <c r="E28" s="179">
        <v>46.3</v>
      </c>
      <c r="F28" s="179">
        <v>41.72</v>
      </c>
      <c r="G28" s="179">
        <v>39.008</v>
      </c>
      <c r="H28" s="179">
        <v>37.811</v>
      </c>
      <c r="I28" s="179">
        <v>34.262</v>
      </c>
      <c r="J28" s="179">
        <v>34.024</v>
      </c>
      <c r="K28" s="179">
        <v>33.984</v>
      </c>
      <c r="L28" s="179">
        <v>33.128</v>
      </c>
      <c r="M28" s="179">
        <v>34.035</v>
      </c>
      <c r="N28" s="179">
        <v>33.25</v>
      </c>
      <c r="O28" s="179">
        <v>31.735</v>
      </c>
      <c r="P28" s="179">
        <v>30.996</v>
      </c>
      <c r="Q28" s="179">
        <v>29.295</v>
      </c>
      <c r="R28" s="179">
        <v>29.996</v>
      </c>
      <c r="S28" s="179">
        <v>30.118</v>
      </c>
      <c r="T28" s="179">
        <v>29.314</v>
      </c>
      <c r="U28" s="179">
        <v>28.148</v>
      </c>
      <c r="V28" s="179">
        <v>27.359</v>
      </c>
      <c r="W28" s="179">
        <v>26.791</v>
      </c>
      <c r="X28" s="296">
        <f t="shared" si="3"/>
        <v>-2.0760992726342353</v>
      </c>
      <c r="Y28" s="126" t="s">
        <v>23</v>
      </c>
    </row>
    <row r="29" spans="1:27" s="356" customFormat="1" ht="12.75" customHeight="1">
      <c r="A29" s="352"/>
      <c r="B29" s="20" t="s">
        <v>41</v>
      </c>
      <c r="C29" s="358">
        <v>4.358</v>
      </c>
      <c r="D29" s="358">
        <v>7.6</v>
      </c>
      <c r="E29" s="64">
        <v>10.3</v>
      </c>
      <c r="F29" s="64">
        <v>10.7</v>
      </c>
      <c r="G29" s="64">
        <v>11.4</v>
      </c>
      <c r="H29" s="64">
        <v>11.8</v>
      </c>
      <c r="I29" s="64">
        <v>12.55</v>
      </c>
      <c r="J29" s="64">
        <v>11.3</v>
      </c>
      <c r="K29" s="64">
        <v>11.1</v>
      </c>
      <c r="L29" s="64">
        <v>11.6</v>
      </c>
      <c r="M29" s="64">
        <v>11.55</v>
      </c>
      <c r="N29" s="64">
        <v>11.48</v>
      </c>
      <c r="O29" s="64">
        <v>11.821</v>
      </c>
      <c r="P29" s="64">
        <v>11.159</v>
      </c>
      <c r="Q29" s="64">
        <v>9.936</v>
      </c>
      <c r="R29" s="64">
        <v>10.537</v>
      </c>
      <c r="S29" s="64">
        <v>10.809</v>
      </c>
      <c r="T29" s="82">
        <v>11.1</v>
      </c>
      <c r="U29" s="82">
        <v>10.557</v>
      </c>
      <c r="V29" s="82">
        <v>10.878</v>
      </c>
      <c r="W29" s="82">
        <v>10.93</v>
      </c>
      <c r="X29" s="361">
        <f t="shared" si="3"/>
        <v>0.4780290494576178</v>
      </c>
      <c r="Y29" s="20" t="s">
        <v>41</v>
      </c>
      <c r="AA29" s="366"/>
    </row>
    <row r="30" spans="1:25" ht="12.75" customHeight="1">
      <c r="A30" s="18"/>
      <c r="B30" s="126" t="s">
        <v>24</v>
      </c>
      <c r="C30" s="177">
        <v>7.858</v>
      </c>
      <c r="D30" s="177">
        <v>24.016</v>
      </c>
      <c r="E30" s="179">
        <v>24.007</v>
      </c>
      <c r="F30" s="179">
        <v>20.835</v>
      </c>
      <c r="G30" s="179">
        <v>25.649</v>
      </c>
      <c r="H30" s="178">
        <v>20.512</v>
      </c>
      <c r="I30" s="179">
        <v>14.058</v>
      </c>
      <c r="J30" s="179">
        <v>12.343</v>
      </c>
      <c r="K30" s="179">
        <v>12.842</v>
      </c>
      <c r="L30" s="179">
        <v>13.531</v>
      </c>
      <c r="M30" s="180">
        <v>13</v>
      </c>
      <c r="N30" s="180">
        <v>12.5</v>
      </c>
      <c r="O30" s="180">
        <v>12</v>
      </c>
      <c r="P30" s="180">
        <v>11.5</v>
      </c>
      <c r="Q30" s="180">
        <v>11.5</v>
      </c>
      <c r="R30" s="180">
        <v>11.5</v>
      </c>
      <c r="S30" s="180">
        <v>11.5</v>
      </c>
      <c r="T30" s="179">
        <v>11.812</v>
      </c>
      <c r="U30" s="179">
        <v>11.735</v>
      </c>
      <c r="V30" s="179">
        <v>12.156</v>
      </c>
      <c r="W30" s="179">
        <v>13.88</v>
      </c>
      <c r="X30" s="296">
        <f t="shared" si="3"/>
        <v>14.182296808160588</v>
      </c>
      <c r="Y30" s="126" t="s">
        <v>24</v>
      </c>
    </row>
    <row r="31" spans="1:27" s="356" customFormat="1" ht="12.75" customHeight="1">
      <c r="A31" s="352"/>
      <c r="B31" s="20" t="s">
        <v>26</v>
      </c>
      <c r="C31" s="358">
        <v>2.642</v>
      </c>
      <c r="D31" s="358">
        <v>4.925</v>
      </c>
      <c r="E31" s="64">
        <v>6.508</v>
      </c>
      <c r="F31" s="64">
        <v>5.554</v>
      </c>
      <c r="G31" s="64">
        <v>4.17</v>
      </c>
      <c r="H31" s="64">
        <v>3.894</v>
      </c>
      <c r="I31" s="64">
        <v>4.053</v>
      </c>
      <c r="J31" s="64">
        <v>4.113</v>
      </c>
      <c r="K31" s="64">
        <v>4.301</v>
      </c>
      <c r="L31" s="64">
        <v>4.379</v>
      </c>
      <c r="M31" s="64">
        <v>3.876</v>
      </c>
      <c r="N31" s="64">
        <v>4.138</v>
      </c>
      <c r="O31" s="64">
        <v>3.502</v>
      </c>
      <c r="P31" s="64">
        <v>3.393</v>
      </c>
      <c r="Q31" s="64">
        <v>3.339</v>
      </c>
      <c r="R31" s="64">
        <v>3.446</v>
      </c>
      <c r="S31" s="64">
        <v>3.218</v>
      </c>
      <c r="T31" s="64">
        <v>3.062</v>
      </c>
      <c r="U31" s="64">
        <v>3.133</v>
      </c>
      <c r="V31" s="64">
        <v>3.235</v>
      </c>
      <c r="W31" s="64">
        <v>3.146</v>
      </c>
      <c r="X31" s="355">
        <f t="shared" si="3"/>
        <v>-2.7511591962905757</v>
      </c>
      <c r="Y31" s="20" t="s">
        <v>26</v>
      </c>
      <c r="AA31" s="366"/>
    </row>
    <row r="32" spans="1:25" ht="12.75" customHeight="1">
      <c r="A32" s="18"/>
      <c r="B32" s="126" t="s">
        <v>25</v>
      </c>
      <c r="C32" s="184"/>
      <c r="D32" s="184"/>
      <c r="E32" s="185"/>
      <c r="F32" s="179"/>
      <c r="G32" s="179"/>
      <c r="H32" s="179"/>
      <c r="I32" s="179"/>
      <c r="J32" s="179">
        <v>14.441</v>
      </c>
      <c r="K32" s="179">
        <v>14.48</v>
      </c>
      <c r="L32" s="179">
        <v>13.469</v>
      </c>
      <c r="M32" s="179">
        <v>12.46</v>
      </c>
      <c r="N32" s="179">
        <v>11.353</v>
      </c>
      <c r="O32" s="179">
        <v>9.3174635</v>
      </c>
      <c r="P32" s="179">
        <v>9.24563722</v>
      </c>
      <c r="Q32" s="179">
        <v>9.24878837</v>
      </c>
      <c r="R32" s="179">
        <v>8.7739944</v>
      </c>
      <c r="S32" s="179">
        <v>8.84976323</v>
      </c>
      <c r="T32" s="179">
        <v>8.53778246</v>
      </c>
      <c r="U32" s="179">
        <v>8.683574</v>
      </c>
      <c r="V32" s="179">
        <v>8.652062</v>
      </c>
      <c r="W32" s="179">
        <v>8.75</v>
      </c>
      <c r="X32" s="296">
        <f t="shared" si="3"/>
        <v>1.1319613752189817</v>
      </c>
      <c r="Y32" s="126" t="s">
        <v>25</v>
      </c>
    </row>
    <row r="33" spans="1:25" ht="12.75" customHeight="1">
      <c r="A33" s="18"/>
      <c r="B33" s="20" t="s">
        <v>42</v>
      </c>
      <c r="C33" s="166">
        <v>7.5</v>
      </c>
      <c r="D33" s="166">
        <v>8.5</v>
      </c>
      <c r="E33" s="168">
        <v>8.5</v>
      </c>
      <c r="F33" s="168">
        <v>8.1</v>
      </c>
      <c r="G33" s="168">
        <v>8</v>
      </c>
      <c r="H33" s="168">
        <v>8</v>
      </c>
      <c r="I33" s="168">
        <v>8</v>
      </c>
      <c r="J33" s="168">
        <v>8</v>
      </c>
      <c r="K33" s="168">
        <v>8</v>
      </c>
      <c r="L33" s="168">
        <v>8</v>
      </c>
      <c r="M33" s="168">
        <v>7.8</v>
      </c>
      <c r="N33" s="168">
        <v>7.6</v>
      </c>
      <c r="O33" s="168">
        <v>7.7</v>
      </c>
      <c r="P33" s="168">
        <v>7.7</v>
      </c>
      <c r="Q33" s="168">
        <v>7.7</v>
      </c>
      <c r="R33" s="168">
        <v>7.67</v>
      </c>
      <c r="S33" s="168">
        <v>7.605</v>
      </c>
      <c r="T33" s="168">
        <v>7.54</v>
      </c>
      <c r="U33" s="168">
        <v>7.54</v>
      </c>
      <c r="V33" s="168">
        <v>7.54</v>
      </c>
      <c r="W33" s="168">
        <v>7.54</v>
      </c>
      <c r="X33" s="294">
        <f t="shared" si="3"/>
        <v>0</v>
      </c>
      <c r="Y33" s="20" t="s">
        <v>42</v>
      </c>
    </row>
    <row r="34" spans="1:25" ht="12.75" customHeight="1">
      <c r="A34" s="18"/>
      <c r="B34" s="126" t="s">
        <v>43</v>
      </c>
      <c r="C34" s="177">
        <v>5.5</v>
      </c>
      <c r="D34" s="178">
        <v>7.3</v>
      </c>
      <c r="E34" s="179">
        <v>9.663565396357743</v>
      </c>
      <c r="F34" s="179">
        <v>9.677871179540276</v>
      </c>
      <c r="G34" s="179">
        <v>9.699579341247878</v>
      </c>
      <c r="H34" s="179">
        <v>9.421206473765904</v>
      </c>
      <c r="I34" s="179">
        <v>9.531356730066832</v>
      </c>
      <c r="J34" s="179">
        <v>9.70318298834586</v>
      </c>
      <c r="K34" s="179">
        <v>9.815881642468796</v>
      </c>
      <c r="L34" s="179">
        <v>9.822218249358277</v>
      </c>
      <c r="M34" s="179">
        <v>9.777521360228848</v>
      </c>
      <c r="N34" s="179">
        <v>9.755750625837438</v>
      </c>
      <c r="O34" s="179">
        <v>9.451516631541596</v>
      </c>
      <c r="P34" s="179">
        <v>9.192688278826282</v>
      </c>
      <c r="Q34" s="179">
        <v>9.269930842675889</v>
      </c>
      <c r="R34" s="179">
        <v>9.12657476361352</v>
      </c>
      <c r="S34" s="179">
        <v>8.895604098507814</v>
      </c>
      <c r="T34" s="179">
        <v>8.76</v>
      </c>
      <c r="U34" s="179">
        <v>8.8679</v>
      </c>
      <c r="V34" s="179">
        <v>8.6547</v>
      </c>
      <c r="W34" s="179">
        <v>8.758</v>
      </c>
      <c r="X34" s="296">
        <f t="shared" si="3"/>
        <v>1.1935711232047286</v>
      </c>
      <c r="Y34" s="126" t="s">
        <v>43</v>
      </c>
    </row>
    <row r="35" spans="1:25" ht="12.75" customHeight="1">
      <c r="A35" s="18"/>
      <c r="B35" s="21" t="s">
        <v>31</v>
      </c>
      <c r="C35" s="166">
        <v>61.7</v>
      </c>
      <c r="D35" s="166">
        <v>53.7</v>
      </c>
      <c r="E35" s="168">
        <v>47.7</v>
      </c>
      <c r="F35" s="168">
        <v>46.7</v>
      </c>
      <c r="G35" s="168">
        <v>45.7</v>
      </c>
      <c r="H35" s="168">
        <v>45.7</v>
      </c>
      <c r="I35" s="168">
        <v>45.8</v>
      </c>
      <c r="J35" s="168">
        <v>45.8</v>
      </c>
      <c r="K35" s="168">
        <v>45.7</v>
      </c>
      <c r="L35" s="168">
        <v>45.7</v>
      </c>
      <c r="M35" s="168">
        <v>46.5</v>
      </c>
      <c r="N35" s="168">
        <v>47.5</v>
      </c>
      <c r="O35" s="168">
        <v>48.5</v>
      </c>
      <c r="P35" s="168">
        <v>48.5</v>
      </c>
      <c r="Q35" s="168">
        <v>48.5</v>
      </c>
      <c r="R35" s="168">
        <v>48.5</v>
      </c>
      <c r="S35" s="168">
        <v>49.5</v>
      </c>
      <c r="T35" s="168">
        <v>49.5</v>
      </c>
      <c r="U35" s="168">
        <v>51.5</v>
      </c>
      <c r="V35" s="168">
        <v>51.5</v>
      </c>
      <c r="W35" s="165">
        <v>52</v>
      </c>
      <c r="X35" s="294">
        <f t="shared" si="3"/>
        <v>0.9708737864077666</v>
      </c>
      <c r="Y35" s="21" t="s">
        <v>31</v>
      </c>
    </row>
    <row r="36" spans="1:25" ht="12.75" customHeight="1">
      <c r="A36" s="18"/>
      <c r="B36" s="126" t="s">
        <v>50</v>
      </c>
      <c r="C36" s="188">
        <v>3.3</v>
      </c>
      <c r="D36" s="188">
        <v>7.1</v>
      </c>
      <c r="E36" s="189">
        <v>7</v>
      </c>
      <c r="F36" s="189" t="s">
        <v>45</v>
      </c>
      <c r="G36" s="189" t="s">
        <v>45</v>
      </c>
      <c r="H36" s="189" t="s">
        <v>45</v>
      </c>
      <c r="I36" s="189" t="s">
        <v>45</v>
      </c>
      <c r="J36" s="189">
        <v>4.051915</v>
      </c>
      <c r="K36" s="189">
        <v>4.266118</v>
      </c>
      <c r="L36" s="189">
        <v>4.459067</v>
      </c>
      <c r="M36" s="189">
        <v>3.963847</v>
      </c>
      <c r="N36" s="189">
        <v>3.354983</v>
      </c>
      <c r="O36" s="189">
        <v>3.331147</v>
      </c>
      <c r="P36" s="189">
        <v>3.477757</v>
      </c>
      <c r="Q36" s="189">
        <v>3.557693</v>
      </c>
      <c r="R36" s="189">
        <v>3.71685</v>
      </c>
      <c r="S36" s="189">
        <v>3.390253</v>
      </c>
      <c r="T36" s="189">
        <v>3.403469</v>
      </c>
      <c r="U36" s="189">
        <v>3.537056</v>
      </c>
      <c r="V36" s="189">
        <v>3.80798</v>
      </c>
      <c r="W36" s="189">
        <v>4.093489</v>
      </c>
      <c r="X36" s="304">
        <f t="shared" si="3"/>
        <v>7.497649672529794</v>
      </c>
      <c r="Y36" s="126" t="s">
        <v>50</v>
      </c>
    </row>
    <row r="37" spans="1:27" s="356" customFormat="1" ht="12.75" customHeight="1">
      <c r="A37" s="352"/>
      <c r="B37" s="20" t="s">
        <v>9</v>
      </c>
      <c r="C37" s="353"/>
      <c r="D37" s="353"/>
      <c r="E37" s="354"/>
      <c r="F37" s="64"/>
      <c r="G37" s="64"/>
      <c r="H37" s="64"/>
      <c r="I37" s="64"/>
      <c r="J37" s="82">
        <v>0.9</v>
      </c>
      <c r="K37" s="82">
        <v>0.9</v>
      </c>
      <c r="L37" s="82">
        <v>0.9</v>
      </c>
      <c r="M37" s="82">
        <v>0.9</v>
      </c>
      <c r="N37" s="82">
        <v>0.9</v>
      </c>
      <c r="O37" s="82">
        <v>0.9</v>
      </c>
      <c r="P37" s="82">
        <v>0.831</v>
      </c>
      <c r="Q37" s="82">
        <v>1</v>
      </c>
      <c r="R37" s="82">
        <v>1.344</v>
      </c>
      <c r="S37" s="82">
        <v>1.11</v>
      </c>
      <c r="T37" s="82">
        <v>1.086</v>
      </c>
      <c r="U37" s="82">
        <v>1.016</v>
      </c>
      <c r="V37" s="82">
        <v>1.027</v>
      </c>
      <c r="W37" s="82">
        <v>1.239</v>
      </c>
      <c r="X37" s="361">
        <f t="shared" si="3"/>
        <v>20.64264849074977</v>
      </c>
      <c r="Y37" s="20" t="s">
        <v>9</v>
      </c>
      <c r="AA37" s="366"/>
    </row>
    <row r="38" spans="1:25" ht="12.75" customHeight="1">
      <c r="A38" s="18"/>
      <c r="B38" s="127" t="s">
        <v>27</v>
      </c>
      <c r="C38" s="186" t="s">
        <v>45</v>
      </c>
      <c r="D38" s="186" t="s">
        <v>45</v>
      </c>
      <c r="E38" s="187" t="s">
        <v>45</v>
      </c>
      <c r="F38" s="187" t="s">
        <v>45</v>
      </c>
      <c r="G38" s="187" t="s">
        <v>45</v>
      </c>
      <c r="H38" s="187">
        <v>86.914</v>
      </c>
      <c r="I38" s="187">
        <v>79.17</v>
      </c>
      <c r="J38" s="187">
        <v>85.674</v>
      </c>
      <c r="K38" s="187">
        <v>91.658</v>
      </c>
      <c r="L38" s="187">
        <v>95.36</v>
      </c>
      <c r="M38" s="187">
        <v>94.914</v>
      </c>
      <c r="N38" s="187">
        <v>91.263</v>
      </c>
      <c r="O38" s="187">
        <v>87.391</v>
      </c>
      <c r="P38" s="187">
        <v>76.8</v>
      </c>
      <c r="Q38" s="191">
        <v>80</v>
      </c>
      <c r="R38" s="191">
        <v>81</v>
      </c>
      <c r="S38" s="191">
        <v>85</v>
      </c>
      <c r="T38" s="191">
        <v>95</v>
      </c>
      <c r="U38" s="191">
        <v>100</v>
      </c>
      <c r="V38" s="191">
        <v>105</v>
      </c>
      <c r="W38" s="191">
        <v>110</v>
      </c>
      <c r="X38" s="299">
        <f t="shared" si="3"/>
        <v>4.761904761904767</v>
      </c>
      <c r="Y38" s="127" t="s">
        <v>27</v>
      </c>
    </row>
    <row r="39" spans="1:27" s="356" customFormat="1" ht="12.75" customHeight="1">
      <c r="A39" s="352"/>
      <c r="B39" s="20" t="s">
        <v>13</v>
      </c>
      <c r="C39" s="367" t="s">
        <v>45</v>
      </c>
      <c r="D39" s="367" t="s">
        <v>45</v>
      </c>
      <c r="E39" s="368" t="s">
        <v>45</v>
      </c>
      <c r="F39" s="368" t="s">
        <v>45</v>
      </c>
      <c r="G39" s="368" t="s">
        <v>45</v>
      </c>
      <c r="H39" s="368" t="s">
        <v>45</v>
      </c>
      <c r="I39" s="368" t="s">
        <v>45</v>
      </c>
      <c r="J39" s="368">
        <v>0.389</v>
      </c>
      <c r="K39" s="368">
        <v>0.408</v>
      </c>
      <c r="L39" s="368">
        <v>0.433</v>
      </c>
      <c r="M39" s="368">
        <v>0.458</v>
      </c>
      <c r="N39" s="368">
        <v>0.468</v>
      </c>
      <c r="O39" s="368">
        <v>0.485</v>
      </c>
      <c r="P39" s="368">
        <v>0.508</v>
      </c>
      <c r="Q39" s="368">
        <v>0.523</v>
      </c>
      <c r="R39" s="368">
        <v>0.537</v>
      </c>
      <c r="S39" s="368">
        <v>0.554</v>
      </c>
      <c r="T39" s="368">
        <v>0.587</v>
      </c>
      <c r="U39" s="368">
        <v>0.622</v>
      </c>
      <c r="V39" s="368">
        <v>0.653</v>
      </c>
      <c r="W39" s="368">
        <v>0.636</v>
      </c>
      <c r="X39" s="369">
        <f t="shared" si="3"/>
        <v>-2.6033690658499253</v>
      </c>
      <c r="Y39" s="20" t="s">
        <v>13</v>
      </c>
      <c r="AA39" s="366"/>
    </row>
    <row r="40" spans="1:25" ht="12.75" customHeight="1">
      <c r="A40" s="18"/>
      <c r="B40" s="126" t="s">
        <v>44</v>
      </c>
      <c r="C40" s="177">
        <v>3.726</v>
      </c>
      <c r="D40" s="177">
        <v>4.257</v>
      </c>
      <c r="E40" s="179">
        <v>3.89</v>
      </c>
      <c r="F40" s="179">
        <v>3.935</v>
      </c>
      <c r="G40" s="179">
        <v>3.935</v>
      </c>
      <c r="H40" s="179">
        <v>3.935</v>
      </c>
      <c r="I40" s="179">
        <v>4</v>
      </c>
      <c r="J40" s="179">
        <v>3.752</v>
      </c>
      <c r="K40" s="179">
        <v>4.117</v>
      </c>
      <c r="L40" s="179">
        <v>4.248</v>
      </c>
      <c r="M40" s="179">
        <v>4.212</v>
      </c>
      <c r="N40" s="179">
        <v>4.177</v>
      </c>
      <c r="O40" s="179">
        <v>4.141</v>
      </c>
      <c r="P40" s="179">
        <v>4.105</v>
      </c>
      <c r="Q40" s="179">
        <v>4.125</v>
      </c>
      <c r="R40" s="179">
        <v>4.005</v>
      </c>
      <c r="S40" s="179">
        <v>4.231</v>
      </c>
      <c r="T40" s="179">
        <v>4.312</v>
      </c>
      <c r="U40" s="179">
        <v>4.258</v>
      </c>
      <c r="V40" s="179">
        <v>4.268</v>
      </c>
      <c r="W40" s="179">
        <v>4.36</v>
      </c>
      <c r="X40" s="296">
        <f t="shared" si="3"/>
        <v>2.1555763823805085</v>
      </c>
      <c r="Y40" s="126" t="s">
        <v>44</v>
      </c>
    </row>
    <row r="41" spans="1:27" s="356" customFormat="1" ht="12.75" customHeight="1">
      <c r="A41" s="352"/>
      <c r="B41" s="21" t="s">
        <v>14</v>
      </c>
      <c r="C41" s="370">
        <v>1.885</v>
      </c>
      <c r="D41" s="370">
        <v>2.486</v>
      </c>
      <c r="E41" s="371">
        <v>3.318</v>
      </c>
      <c r="F41" s="371">
        <v>3.627</v>
      </c>
      <c r="G41" s="371">
        <v>3.583</v>
      </c>
      <c r="H41" s="371">
        <v>3.539</v>
      </c>
      <c r="I41" s="372">
        <v>3.531</v>
      </c>
      <c r="J41" s="371">
        <v>5.5288</v>
      </c>
      <c r="K41" s="371">
        <v>5.4243</v>
      </c>
      <c r="L41" s="371">
        <v>5.3873</v>
      </c>
      <c r="M41" s="371">
        <v>5.2170000000000005</v>
      </c>
      <c r="N41" s="371">
        <v>5.179</v>
      </c>
      <c r="O41" s="371">
        <v>5.2557</v>
      </c>
      <c r="P41" s="371">
        <v>5.280899999999999</v>
      </c>
      <c r="Q41" s="371">
        <v>5.2964</v>
      </c>
      <c r="R41" s="371">
        <v>5.4168</v>
      </c>
      <c r="S41" s="371">
        <v>5.4517</v>
      </c>
      <c r="T41" s="371">
        <v>5.694100000000001</v>
      </c>
      <c r="U41" s="371">
        <v>6.0143</v>
      </c>
      <c r="V41" s="371">
        <v>6.1386</v>
      </c>
      <c r="W41" s="373">
        <v>6.1</v>
      </c>
      <c r="X41" s="374">
        <f t="shared" si="3"/>
        <v>-0.6288078715016576</v>
      </c>
      <c r="Y41" s="21" t="s">
        <v>14</v>
      </c>
      <c r="AA41" s="366"/>
    </row>
    <row r="42" spans="2:25" ht="15" customHeight="1">
      <c r="B42" s="305" t="s">
        <v>105</v>
      </c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140"/>
    </row>
    <row r="43" spans="2:24" ht="12.75" customHeight="1">
      <c r="B43" s="2" t="s">
        <v>8</v>
      </c>
      <c r="C43" s="65"/>
      <c r="D43" s="66"/>
      <c r="E43" s="66"/>
      <c r="F43" s="66"/>
      <c r="G43" s="66"/>
      <c r="H43" s="67"/>
      <c r="I43" s="66"/>
      <c r="J43" s="66"/>
      <c r="K43" s="60"/>
      <c r="L43" s="66"/>
      <c r="M43" s="32"/>
      <c r="N43" s="32"/>
      <c r="O43" s="66"/>
      <c r="P43" s="32"/>
      <c r="Q43" s="32"/>
      <c r="R43" s="31"/>
      <c r="S43" s="306"/>
      <c r="T43" s="306"/>
      <c r="U43" s="306"/>
      <c r="V43" s="306"/>
      <c r="W43" s="306"/>
      <c r="X43" s="306"/>
    </row>
    <row r="44" spans="2:27" s="75" customFormat="1" ht="12.75" customHeight="1">
      <c r="B44" s="75" t="s">
        <v>124</v>
      </c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AA44" s="145"/>
    </row>
    <row r="45" spans="2:27" s="75" customFormat="1" ht="12.75" customHeight="1">
      <c r="B45" s="141" t="s">
        <v>117</v>
      </c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AA45" s="145"/>
    </row>
    <row r="46" spans="2:27" s="75" customFormat="1" ht="12.75" customHeight="1">
      <c r="B46" s="142" t="s">
        <v>118</v>
      </c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AA46" s="145"/>
    </row>
    <row r="47" spans="2:27" s="75" customFormat="1" ht="12.75" customHeight="1">
      <c r="B47" s="426" t="s">
        <v>134</v>
      </c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AA47" s="145"/>
    </row>
    <row r="48" spans="2:27" s="75" customFormat="1" ht="12.75" customHeight="1">
      <c r="B48" s="141" t="s">
        <v>98</v>
      </c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Q48" s="409"/>
      <c r="R48" s="409"/>
      <c r="S48" s="409"/>
      <c r="T48" s="409"/>
      <c r="U48" s="409"/>
      <c r="V48" s="409"/>
      <c r="W48" s="409"/>
      <c r="X48" s="409"/>
      <c r="AA48" s="145"/>
    </row>
    <row r="49" spans="3:24" ht="12.75" customHeight="1"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</row>
    <row r="51" spans="2:18" ht="12.75" customHeight="1">
      <c r="B51" s="56"/>
      <c r="C51" s="75"/>
      <c r="D51" s="76"/>
      <c r="E51" s="76"/>
      <c r="F51" s="27"/>
      <c r="G51" s="76"/>
      <c r="H51" s="76"/>
      <c r="I51" s="77"/>
      <c r="J51" s="27"/>
      <c r="K51" s="27"/>
      <c r="L51" s="75"/>
      <c r="M51" s="27"/>
      <c r="N51" s="78"/>
      <c r="O51" s="76"/>
      <c r="P51" s="76"/>
      <c r="Q51" s="76"/>
      <c r="R51" s="79"/>
    </row>
    <row r="52" spans="2:18" ht="12.75" customHeight="1">
      <c r="B52" s="56"/>
      <c r="C52" s="75"/>
      <c r="D52" s="80"/>
      <c r="E52" s="80"/>
      <c r="F52" s="27"/>
      <c r="G52" s="27"/>
      <c r="H52" s="27"/>
      <c r="I52" s="27"/>
      <c r="J52" s="27"/>
      <c r="K52" s="27"/>
      <c r="L52" s="75"/>
      <c r="M52" s="27"/>
      <c r="N52" s="27"/>
      <c r="O52" s="27"/>
      <c r="P52" s="27"/>
      <c r="Q52" s="27"/>
      <c r="R52" s="24"/>
    </row>
  </sheetData>
  <mergeCells count="2">
    <mergeCell ref="B2:Y2"/>
    <mergeCell ref="B47:X47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/>
  <dimension ref="A1:Z47"/>
  <sheetViews>
    <sheetView workbookViewId="0" topLeftCell="A1">
      <selection activeCell="AB22" sqref="AB22"/>
    </sheetView>
  </sheetViews>
  <sheetFormatPr defaultColWidth="9.140625" defaultRowHeight="12.75"/>
  <cols>
    <col min="1" max="1" width="2.7109375" style="18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T1" s="44"/>
      <c r="U1" s="44"/>
      <c r="V1" s="44"/>
      <c r="W1" s="44"/>
      <c r="Y1" s="44" t="s">
        <v>54</v>
      </c>
    </row>
    <row r="2" spans="1:25" s="75" customFormat="1" ht="30" customHeight="1">
      <c r="A2" s="123"/>
      <c r="B2" s="425" t="s">
        <v>2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</row>
    <row r="3" spans="3:25" ht="1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W3" s="25" t="s">
        <v>7</v>
      </c>
      <c r="X3" s="6"/>
      <c r="Y3" s="25"/>
    </row>
    <row r="4" spans="2:25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17"/>
    </row>
    <row r="5" spans="2:25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17"/>
    </row>
    <row r="6" spans="2:25" ht="12.75" customHeight="1">
      <c r="B6" s="125" t="s">
        <v>79</v>
      </c>
      <c r="C6" s="203"/>
      <c r="D6" s="203"/>
      <c r="E6" s="204"/>
      <c r="F6" s="204"/>
      <c r="G6" s="204"/>
      <c r="H6" s="204"/>
      <c r="I6" s="204"/>
      <c r="J6" s="204">
        <f>SUM(J9:J35)</f>
        <v>71.08849000000001</v>
      </c>
      <c r="K6" s="204">
        <f>SUM(K9:K35)</f>
        <v>71.9473</v>
      </c>
      <c r="L6" s="204">
        <f>SUM(L9:L35)</f>
        <v>72.5027</v>
      </c>
      <c r="M6" s="204">
        <f>SUM(M9:M35)</f>
        <v>73.52426399999999</v>
      </c>
      <c r="N6" s="204">
        <f aca="true" t="shared" si="0" ref="N6:T6">SUM(N9:N35)</f>
        <v>75.080742</v>
      </c>
      <c r="O6" s="204">
        <f t="shared" si="0"/>
        <v>77.1444</v>
      </c>
      <c r="P6" s="204">
        <f t="shared" si="0"/>
        <v>77.81226278</v>
      </c>
      <c r="Q6" s="204">
        <f t="shared" si="0"/>
        <v>78.49671163</v>
      </c>
      <c r="R6" s="204">
        <f t="shared" si="0"/>
        <v>79.31302059999999</v>
      </c>
      <c r="S6" s="204">
        <f t="shared" si="0"/>
        <v>81.93558177</v>
      </c>
      <c r="T6" s="204">
        <f t="shared" si="0"/>
        <v>82.39904154</v>
      </c>
      <c r="U6" s="204">
        <f>SUM(U9:U35)</f>
        <v>84.15403599999999</v>
      </c>
      <c r="V6" s="204">
        <f>SUM(V9:V35)</f>
        <v>85.92502800000001</v>
      </c>
      <c r="W6" s="204">
        <f>SUM(W9:W35)</f>
        <v>88.96004540000001</v>
      </c>
      <c r="X6" s="301">
        <f>(W6/V6-1)*100</f>
        <v>3.5321692301339747</v>
      </c>
      <c r="Y6" s="132" t="s">
        <v>79</v>
      </c>
    </row>
    <row r="7" spans="2:25" ht="12.75" customHeight="1">
      <c r="B7" s="126" t="s">
        <v>32</v>
      </c>
      <c r="C7" s="205">
        <f aca="true" t="shared" si="1" ref="C7:L7">SUM(C9,C12:C13,C15:C19,C23,C26:C27,C29,C33:C35)</f>
        <v>38.910000000000004</v>
      </c>
      <c r="D7" s="205">
        <f t="shared" si="1"/>
        <v>40.67</v>
      </c>
      <c r="E7" s="207">
        <f t="shared" si="1"/>
        <v>49.024</v>
      </c>
      <c r="F7" s="207">
        <f t="shared" si="1"/>
        <v>49.623000000000005</v>
      </c>
      <c r="G7" s="207">
        <f t="shared" si="1"/>
        <v>49.007</v>
      </c>
      <c r="H7" s="207">
        <f t="shared" si="1"/>
        <v>49.4054</v>
      </c>
      <c r="I7" s="207">
        <f t="shared" si="1"/>
        <v>49.158</v>
      </c>
      <c r="J7" s="207">
        <f t="shared" si="1"/>
        <v>48.7696</v>
      </c>
      <c r="K7" s="207">
        <f t="shared" si="1"/>
        <v>49.69499999999999</v>
      </c>
      <c r="L7" s="207">
        <f t="shared" si="1"/>
        <v>50.2058</v>
      </c>
      <c r="M7" s="207">
        <f>SUM(M9,M12:M13,M15:M19,M23,M26:M27,M29,M33:M35)</f>
        <v>51.10999999999999</v>
      </c>
      <c r="N7" s="207">
        <f aca="true" t="shared" si="2" ref="N7:V7">SUM(N9,N12:N13,N15:N19,N23,N26:N27,N29,N33:N35)</f>
        <v>52.4743</v>
      </c>
      <c r="O7" s="207">
        <f t="shared" si="2"/>
        <v>54.66600000000001</v>
      </c>
      <c r="P7" s="207">
        <f t="shared" si="2"/>
        <v>55.18960000000001</v>
      </c>
      <c r="Q7" s="207">
        <f t="shared" si="2"/>
        <v>55.88249999999999</v>
      </c>
      <c r="R7" s="207">
        <f t="shared" si="2"/>
        <v>56.756299999999996</v>
      </c>
      <c r="S7" s="207">
        <f t="shared" si="2"/>
        <v>58.94870000000002</v>
      </c>
      <c r="T7" s="207">
        <f t="shared" si="2"/>
        <v>59.946716</v>
      </c>
      <c r="U7" s="207">
        <f t="shared" si="2"/>
        <v>61.63391</v>
      </c>
      <c r="V7" s="207">
        <f t="shared" si="2"/>
        <v>63.19789000000001</v>
      </c>
      <c r="W7" s="207">
        <f>SUM(W9,W12:W13,W15:W19,W23,W26:W27,W29,W33:W35)</f>
        <v>64.69476099999999</v>
      </c>
      <c r="X7" s="302">
        <f aca="true" t="shared" si="3" ref="X7:X41">(W7/V7-1)*100</f>
        <v>2.3685458486034427</v>
      </c>
      <c r="Y7" s="131" t="s">
        <v>32</v>
      </c>
    </row>
    <row r="8" spans="2:25" ht="12.75" customHeight="1">
      <c r="B8" s="127" t="s">
        <v>92</v>
      </c>
      <c r="C8" s="200"/>
      <c r="D8" s="200"/>
      <c r="E8" s="202"/>
      <c r="F8" s="202"/>
      <c r="G8" s="202"/>
      <c r="H8" s="202"/>
      <c r="I8" s="202"/>
      <c r="J8" s="202">
        <f>SUM(J10,J11,J14,J20,J21,J22,J24,J25,J28,J30,J31,J32)</f>
        <v>22.318890000000003</v>
      </c>
      <c r="K8" s="202">
        <f>SUM(K10,K11,K14,K20,K21,K22,K24,K25,K28,K30,K31,K32)</f>
        <v>22.2523</v>
      </c>
      <c r="L8" s="202">
        <f>SUM(L10,L11,L14,L20,L21,L22,L24,L25,L28,L30,L31,L32)</f>
        <v>22.2969</v>
      </c>
      <c r="M8" s="202">
        <f aca="true" t="shared" si="4" ref="M8:U8">SUM(M10,M11,M14,M20,M21,M22,M24,M25,M28,M30,M31,M32)</f>
        <v>22.414264</v>
      </c>
      <c r="N8" s="202">
        <f t="shared" si="4"/>
        <v>22.606441999999998</v>
      </c>
      <c r="O8" s="202">
        <f t="shared" si="4"/>
        <v>22.4784</v>
      </c>
      <c r="P8" s="202">
        <f t="shared" si="4"/>
        <v>22.62266278</v>
      </c>
      <c r="Q8" s="202">
        <f t="shared" si="4"/>
        <v>22.61421163</v>
      </c>
      <c r="R8" s="202">
        <f t="shared" si="4"/>
        <v>22.5567206</v>
      </c>
      <c r="S8" s="202">
        <f t="shared" si="4"/>
        <v>22.98688177</v>
      </c>
      <c r="T8" s="202">
        <f t="shared" si="4"/>
        <v>22.45232554</v>
      </c>
      <c r="U8" s="202">
        <f t="shared" si="4"/>
        <v>22.520126</v>
      </c>
      <c r="V8" s="202">
        <f>SUM(V10,V11,V14,V20,V21,V22,V24,V25,V28,V30,V31,V32)</f>
        <v>22.727138</v>
      </c>
      <c r="W8" s="202">
        <f>SUM(W10,W11,W14,W20,W21,W22,W24,W25,W28,W30,W31,W32)</f>
        <v>24.265284400000002</v>
      </c>
      <c r="X8" s="293">
        <f t="shared" si="3"/>
        <v>6.767884280018022</v>
      </c>
      <c r="Y8" s="127" t="s">
        <v>92</v>
      </c>
    </row>
    <row r="9" spans="2:25" ht="12.75" customHeight="1">
      <c r="B9" s="20" t="s">
        <v>33</v>
      </c>
      <c r="C9" s="166">
        <v>0.86</v>
      </c>
      <c r="D9" s="166">
        <v>0.77</v>
      </c>
      <c r="E9" s="168">
        <v>0.74</v>
      </c>
      <c r="F9" s="168">
        <v>0.75</v>
      </c>
      <c r="G9" s="168">
        <v>0.76</v>
      </c>
      <c r="H9" s="168">
        <v>0.77</v>
      </c>
      <c r="I9" s="168">
        <v>0.79</v>
      </c>
      <c r="J9" s="168">
        <v>0.8</v>
      </c>
      <c r="K9" s="168">
        <v>0.81</v>
      </c>
      <c r="L9" s="168">
        <v>0.82</v>
      </c>
      <c r="M9" s="168">
        <v>0.82</v>
      </c>
      <c r="N9" s="168">
        <v>0.82</v>
      </c>
      <c r="O9" s="168">
        <v>0.87</v>
      </c>
      <c r="P9" s="168">
        <v>0.876</v>
      </c>
      <c r="Q9" s="165">
        <v>0.89</v>
      </c>
      <c r="R9" s="165">
        <v>0.9</v>
      </c>
      <c r="S9" s="165">
        <v>0.91</v>
      </c>
      <c r="T9" s="165">
        <v>0.93</v>
      </c>
      <c r="U9" s="165">
        <v>0.95</v>
      </c>
      <c r="V9" s="165">
        <v>0.97</v>
      </c>
      <c r="W9" s="165">
        <v>1</v>
      </c>
      <c r="X9" s="297">
        <f t="shared" si="3"/>
        <v>3.0927835051546504</v>
      </c>
      <c r="Y9" s="19" t="s">
        <v>33</v>
      </c>
    </row>
    <row r="10" spans="2:25" ht="12.75" customHeight="1">
      <c r="B10" s="126" t="s">
        <v>15</v>
      </c>
      <c r="C10" s="177"/>
      <c r="D10" s="177"/>
      <c r="E10" s="179">
        <v>0.586</v>
      </c>
      <c r="F10" s="179">
        <v>0.454</v>
      </c>
      <c r="G10" s="179">
        <v>0.524</v>
      </c>
      <c r="H10" s="179">
        <v>0.283</v>
      </c>
      <c r="I10" s="179">
        <v>0.25</v>
      </c>
      <c r="J10" s="180">
        <v>0.283</v>
      </c>
      <c r="K10" s="180">
        <v>0.296</v>
      </c>
      <c r="L10" s="180">
        <v>0.308</v>
      </c>
      <c r="M10" s="180">
        <v>0.444</v>
      </c>
      <c r="N10" s="180">
        <v>0.46</v>
      </c>
      <c r="O10" s="180">
        <v>0.419</v>
      </c>
      <c r="P10" s="180">
        <v>0.469</v>
      </c>
      <c r="Q10" s="179">
        <v>0.436</v>
      </c>
      <c r="R10" s="179">
        <v>0.486</v>
      </c>
      <c r="S10" s="179">
        <v>0.44</v>
      </c>
      <c r="T10" s="180">
        <v>0.434</v>
      </c>
      <c r="U10" s="180">
        <v>0.446</v>
      </c>
      <c r="V10" s="180">
        <v>0.443</v>
      </c>
      <c r="W10" s="180">
        <v>0.486</v>
      </c>
      <c r="X10" s="295">
        <f t="shared" si="3"/>
        <v>9.706546275395024</v>
      </c>
      <c r="Y10" s="126" t="s">
        <v>15</v>
      </c>
    </row>
    <row r="11" spans="1:25" s="356" customFormat="1" ht="12.75" customHeight="1">
      <c r="A11" s="352"/>
      <c r="B11" s="20" t="s">
        <v>17</v>
      </c>
      <c r="C11" s="358"/>
      <c r="D11" s="358"/>
      <c r="E11" s="64"/>
      <c r="F11" s="64"/>
      <c r="G11" s="64"/>
      <c r="H11" s="64" t="s">
        <v>45</v>
      </c>
      <c r="I11" s="64" t="s">
        <v>45</v>
      </c>
      <c r="J11" s="64">
        <v>7.688</v>
      </c>
      <c r="K11" s="64">
        <v>7.791</v>
      </c>
      <c r="L11" s="64">
        <v>7.863</v>
      </c>
      <c r="M11" s="64">
        <v>7.855</v>
      </c>
      <c r="N11" s="64">
        <v>8.154</v>
      </c>
      <c r="O11" s="64">
        <v>8.068</v>
      </c>
      <c r="P11" s="64">
        <v>8.227</v>
      </c>
      <c r="Q11" s="64">
        <v>8.307</v>
      </c>
      <c r="R11" s="64">
        <v>8.5634</v>
      </c>
      <c r="S11" s="64">
        <f>4.8847+3.8408</f>
        <v>8.7255</v>
      </c>
      <c r="T11" s="64">
        <f>4.769+3.1652</f>
        <v>7.934200000000001</v>
      </c>
      <c r="U11" s="64">
        <f>4.5344+3.2644</f>
        <v>7.7988</v>
      </c>
      <c r="V11" s="64">
        <f>4.4489+3.3015</f>
        <v>7.7504</v>
      </c>
      <c r="W11" s="64">
        <f>4.678+4.4648</f>
        <v>9.142800000000001</v>
      </c>
      <c r="X11" s="355">
        <f t="shared" si="3"/>
        <v>17.965524360033047</v>
      </c>
      <c r="Y11" s="20" t="s">
        <v>17</v>
      </c>
    </row>
    <row r="12" spans="2:25" ht="12.75" customHeight="1">
      <c r="B12" s="126" t="s">
        <v>28</v>
      </c>
      <c r="C12" s="210" t="s">
        <v>47</v>
      </c>
      <c r="D12" s="210" t="s">
        <v>47</v>
      </c>
      <c r="E12" s="211" t="s">
        <v>47</v>
      </c>
      <c r="F12" s="211" t="s">
        <v>47</v>
      </c>
      <c r="G12" s="211" t="s">
        <v>47</v>
      </c>
      <c r="H12" s="211" t="s">
        <v>47</v>
      </c>
      <c r="I12" s="211" t="s">
        <v>47</v>
      </c>
      <c r="J12" s="211" t="s">
        <v>47</v>
      </c>
      <c r="K12" s="211" t="s">
        <v>47</v>
      </c>
      <c r="L12" s="211" t="s">
        <v>47</v>
      </c>
      <c r="M12" s="211" t="s">
        <v>47</v>
      </c>
      <c r="N12" s="211" t="s">
        <v>47</v>
      </c>
      <c r="O12" s="211" t="s">
        <v>47</v>
      </c>
      <c r="P12" s="211" t="s">
        <v>47</v>
      </c>
      <c r="Q12" s="179">
        <v>0.009</v>
      </c>
      <c r="R12" s="179">
        <v>0.067</v>
      </c>
      <c r="S12" s="179">
        <v>0.128</v>
      </c>
      <c r="T12" s="179">
        <v>0.162</v>
      </c>
      <c r="U12" s="179">
        <v>0.164</v>
      </c>
      <c r="V12" s="179">
        <v>0.177</v>
      </c>
      <c r="W12" s="179">
        <v>0.195</v>
      </c>
      <c r="X12" s="296">
        <f t="shared" si="3"/>
        <v>10.169491525423746</v>
      </c>
      <c r="Y12" s="126" t="s">
        <v>28</v>
      </c>
    </row>
    <row r="13" spans="1:25" s="356" customFormat="1" ht="12.75" customHeight="1">
      <c r="A13" s="352"/>
      <c r="B13" s="20" t="s">
        <v>34</v>
      </c>
      <c r="C13" s="360">
        <v>14.63</v>
      </c>
      <c r="D13" s="360">
        <v>13.84</v>
      </c>
      <c r="E13" s="82">
        <v>15.1</v>
      </c>
      <c r="F13" s="82">
        <v>15.14</v>
      </c>
      <c r="G13" s="82">
        <v>14.43</v>
      </c>
      <c r="H13" s="82">
        <v>14.62</v>
      </c>
      <c r="I13" s="82">
        <v>14.47</v>
      </c>
      <c r="J13" s="82">
        <v>14.43</v>
      </c>
      <c r="K13" s="82">
        <v>14.47</v>
      </c>
      <c r="L13" s="82">
        <v>14.5</v>
      </c>
      <c r="M13" s="82">
        <v>14.4</v>
      </c>
      <c r="N13" s="82">
        <v>14.5</v>
      </c>
      <c r="O13" s="82">
        <v>14.6</v>
      </c>
      <c r="P13" s="82">
        <v>14.7</v>
      </c>
      <c r="Q13" s="64">
        <v>14.74</v>
      </c>
      <c r="R13" s="64">
        <v>14.75</v>
      </c>
      <c r="S13" s="64">
        <v>14.986</v>
      </c>
      <c r="T13" s="64">
        <v>15.485</v>
      </c>
      <c r="U13" s="64">
        <v>15.568</v>
      </c>
      <c r="V13" s="64">
        <v>15.92</v>
      </c>
      <c r="W13" s="64">
        <v>16.186</v>
      </c>
      <c r="X13" s="355">
        <f t="shared" si="3"/>
        <v>1.6708542713567809</v>
      </c>
      <c r="Y13" s="20" t="s">
        <v>34</v>
      </c>
    </row>
    <row r="14" spans="2:25" ht="12.75" customHeight="1">
      <c r="B14" s="126" t="s">
        <v>18</v>
      </c>
      <c r="C14" s="177" t="s">
        <v>45</v>
      </c>
      <c r="D14" s="177" t="s">
        <v>45</v>
      </c>
      <c r="E14" s="179" t="s">
        <v>45</v>
      </c>
      <c r="F14" s="179" t="s">
        <v>45</v>
      </c>
      <c r="G14" s="179" t="s">
        <v>45</v>
      </c>
      <c r="H14" s="179" t="s">
        <v>45</v>
      </c>
      <c r="I14" s="179" t="s">
        <v>45</v>
      </c>
      <c r="J14" s="180">
        <f>0.0352*3</f>
        <v>0.1056</v>
      </c>
      <c r="K14" s="180">
        <f>0.0356*3</f>
        <v>0.1068</v>
      </c>
      <c r="L14" s="180">
        <f>0.0369*3</f>
        <v>0.1107</v>
      </c>
      <c r="M14" s="180">
        <f>0.0306*3</f>
        <v>0.09179999999999999</v>
      </c>
      <c r="N14" s="180">
        <f>0.0293*3</f>
        <v>0.0879</v>
      </c>
      <c r="O14" s="180">
        <f>0.0349*3</f>
        <v>0.1047</v>
      </c>
      <c r="P14" s="180">
        <f>0.0292*3</f>
        <v>0.0876</v>
      </c>
      <c r="Q14" s="180">
        <f>0.0308*3</f>
        <v>0.09240000000000001</v>
      </c>
      <c r="R14" s="180">
        <f>0.0311*3</f>
        <v>0.0933</v>
      </c>
      <c r="S14" s="180">
        <f>0.0278*3</f>
        <v>0.0834</v>
      </c>
      <c r="T14" s="180">
        <f>0.0251*3</f>
        <v>0.0753</v>
      </c>
      <c r="U14" s="180">
        <f>0.0262*3</f>
        <v>0.0786</v>
      </c>
      <c r="V14" s="180">
        <f>0.0264*3</f>
        <v>0.07919999999999999</v>
      </c>
      <c r="W14" s="180">
        <f>0.0253*3</f>
        <v>0.0759</v>
      </c>
      <c r="X14" s="295">
        <f t="shared" si="3"/>
        <v>-4.1666666666666625</v>
      </c>
      <c r="Y14" s="126" t="s">
        <v>18</v>
      </c>
    </row>
    <row r="15" spans="2:25" ht="12.75" customHeight="1">
      <c r="B15" s="20" t="s">
        <v>37</v>
      </c>
      <c r="C15" s="174" t="s">
        <v>47</v>
      </c>
      <c r="D15" s="174" t="s">
        <v>47</v>
      </c>
      <c r="E15" s="175" t="s">
        <v>47</v>
      </c>
      <c r="F15" s="175" t="s">
        <v>47</v>
      </c>
      <c r="G15" s="175" t="s">
        <v>47</v>
      </c>
      <c r="H15" s="175" t="s">
        <v>47</v>
      </c>
      <c r="I15" s="175" t="s">
        <v>47</v>
      </c>
      <c r="J15" s="175" t="s">
        <v>47</v>
      </c>
      <c r="K15" s="175" t="s">
        <v>47</v>
      </c>
      <c r="L15" s="175" t="s">
        <v>47</v>
      </c>
      <c r="M15" s="175" t="s">
        <v>47</v>
      </c>
      <c r="N15" s="175" t="s">
        <v>47</v>
      </c>
      <c r="O15" s="175" t="s">
        <v>47</v>
      </c>
      <c r="P15" s="175" t="s">
        <v>47</v>
      </c>
      <c r="Q15" s="175" t="s">
        <v>47</v>
      </c>
      <c r="R15" s="175" t="s">
        <v>47</v>
      </c>
      <c r="S15" s="165">
        <v>0.05</v>
      </c>
      <c r="T15" s="165">
        <v>0.11</v>
      </c>
      <c r="U15" s="168">
        <f>0.06713+0.04598</f>
        <v>0.11310999999999999</v>
      </c>
      <c r="V15" s="168">
        <f>0.107+0.068</f>
        <v>0.175</v>
      </c>
      <c r="W15" s="168">
        <f>0.083+0.058</f>
        <v>0.14100000000000001</v>
      </c>
      <c r="X15" s="294">
        <f t="shared" si="3"/>
        <v>-19.428571428571416</v>
      </c>
      <c r="Y15" s="20" t="s">
        <v>37</v>
      </c>
    </row>
    <row r="16" spans="2:25" ht="12.75" customHeight="1">
      <c r="B16" s="126" t="s">
        <v>29</v>
      </c>
      <c r="C16" s="182">
        <v>0.63</v>
      </c>
      <c r="D16" s="182">
        <v>0.68</v>
      </c>
      <c r="E16" s="180">
        <v>0.83</v>
      </c>
      <c r="F16" s="180">
        <v>0.81</v>
      </c>
      <c r="G16" s="180">
        <v>0.79</v>
      </c>
      <c r="H16" s="180">
        <v>0.77</v>
      </c>
      <c r="I16" s="180">
        <v>0.72</v>
      </c>
      <c r="J16" s="180">
        <v>0.74</v>
      </c>
      <c r="K16" s="180">
        <v>0.74</v>
      </c>
      <c r="L16" s="180">
        <v>0.75</v>
      </c>
      <c r="M16" s="180">
        <v>0.8</v>
      </c>
      <c r="N16" s="180">
        <v>0.81</v>
      </c>
      <c r="O16" s="180">
        <v>1.19</v>
      </c>
      <c r="P16" s="180">
        <v>1.33</v>
      </c>
      <c r="Q16" s="180">
        <v>1.35</v>
      </c>
      <c r="R16" s="180">
        <v>1.4</v>
      </c>
      <c r="S16" s="180">
        <v>1.5</v>
      </c>
      <c r="T16" s="180">
        <v>1.5</v>
      </c>
      <c r="U16" s="180">
        <v>1.55</v>
      </c>
      <c r="V16" s="180">
        <v>1.6</v>
      </c>
      <c r="W16" s="180">
        <v>1.66</v>
      </c>
      <c r="X16" s="295">
        <f t="shared" si="3"/>
        <v>3.7499999999999867</v>
      </c>
      <c r="Y16" s="126" t="s">
        <v>29</v>
      </c>
    </row>
    <row r="17" spans="2:25" ht="12.75" customHeight="1">
      <c r="B17" s="20" t="s">
        <v>35</v>
      </c>
      <c r="C17" s="166">
        <v>3.67</v>
      </c>
      <c r="D17" s="166">
        <v>3.88</v>
      </c>
      <c r="E17" s="168">
        <v>4.38</v>
      </c>
      <c r="F17" s="168">
        <v>4.3</v>
      </c>
      <c r="G17" s="168">
        <v>4.25</v>
      </c>
      <c r="H17" s="168">
        <v>4.2</v>
      </c>
      <c r="I17" s="168">
        <v>4.15</v>
      </c>
      <c r="J17" s="168">
        <v>4.25</v>
      </c>
      <c r="K17" s="168">
        <v>4.49</v>
      </c>
      <c r="L17" s="168">
        <v>4.57</v>
      </c>
      <c r="M17" s="168">
        <v>4.84</v>
      </c>
      <c r="N17" s="165">
        <v>5.06</v>
      </c>
      <c r="O17" s="165">
        <v>5.23</v>
      </c>
      <c r="P17" s="165">
        <v>5.34</v>
      </c>
      <c r="Q17" s="165">
        <v>5.5</v>
      </c>
      <c r="R17" s="165">
        <v>5.6</v>
      </c>
      <c r="S17" s="165">
        <v>5.8</v>
      </c>
      <c r="T17" s="165">
        <v>6</v>
      </c>
      <c r="U17" s="165">
        <v>6.2</v>
      </c>
      <c r="V17" s="165">
        <v>6.4</v>
      </c>
      <c r="W17" s="165">
        <v>6.5</v>
      </c>
      <c r="X17" s="297">
        <f t="shared" si="3"/>
        <v>1.5625</v>
      </c>
      <c r="Y17" s="20" t="s">
        <v>35</v>
      </c>
    </row>
    <row r="18" spans="2:25" ht="12.75" customHeight="1">
      <c r="B18" s="126" t="s">
        <v>36</v>
      </c>
      <c r="C18" s="177">
        <v>6.5</v>
      </c>
      <c r="D18" s="177">
        <v>7.7</v>
      </c>
      <c r="E18" s="179">
        <f>9.693+0.486</f>
        <v>10.179</v>
      </c>
      <c r="F18" s="179">
        <f>9.406+0.513</f>
        <v>9.919</v>
      </c>
      <c r="G18" s="179">
        <f>9.536+0.545</f>
        <v>10.081</v>
      </c>
      <c r="H18" s="179">
        <f>9.35+0.638</f>
        <v>9.988</v>
      </c>
      <c r="I18" s="179">
        <f>9.349+0.688</f>
        <v>10.037</v>
      </c>
      <c r="J18" s="179">
        <f>8.259+0.675</f>
        <v>8.934000000000001</v>
      </c>
      <c r="K18" s="179">
        <f>8.838+0.656</f>
        <v>9.494</v>
      </c>
      <c r="L18" s="179">
        <f>8.99+0.664</f>
        <v>9.654</v>
      </c>
      <c r="M18" s="179">
        <f>9.332+0.692</f>
        <v>10.024000000000001</v>
      </c>
      <c r="N18" s="179">
        <f>9.655+0.702</f>
        <v>10.357</v>
      </c>
      <c r="O18" s="179">
        <f>10.13+0.722</f>
        <v>10.852</v>
      </c>
      <c r="P18" s="179">
        <f>10.239+0.715</f>
        <v>10.954</v>
      </c>
      <c r="Q18" s="179">
        <f>10.368+0.729</f>
        <v>11.097</v>
      </c>
      <c r="R18" s="179">
        <f>10.628+0.771</f>
        <v>11.399000000000001</v>
      </c>
      <c r="S18" s="179">
        <f>11.5477+0.819</f>
        <v>12.366700000000002</v>
      </c>
      <c r="T18" s="179">
        <f>11.613+0.824</f>
        <v>12.437</v>
      </c>
      <c r="U18" s="179">
        <f>11.877+0.857</f>
        <v>12.734</v>
      </c>
      <c r="V18" s="179">
        <f>11.714+0.925</f>
        <v>12.639000000000001</v>
      </c>
      <c r="W18" s="179">
        <f>12.339+0.986</f>
        <v>13.325000000000001</v>
      </c>
      <c r="X18" s="296">
        <f t="shared" si="3"/>
        <v>5.42764459213545</v>
      </c>
      <c r="Y18" s="126" t="s">
        <v>36</v>
      </c>
    </row>
    <row r="19" spans="1:25" s="356" customFormat="1" ht="12.75" customHeight="1">
      <c r="A19" s="352"/>
      <c r="B19" s="20" t="s">
        <v>38</v>
      </c>
      <c r="C19" s="358">
        <v>2.21</v>
      </c>
      <c r="D19" s="358">
        <v>3.66</v>
      </c>
      <c r="E19" s="64">
        <f>2.58+1.629</f>
        <v>4.209</v>
      </c>
      <c r="F19" s="64">
        <v>5.328</v>
      </c>
      <c r="G19" s="64">
        <v>5.4</v>
      </c>
      <c r="H19" s="64">
        <v>5.5</v>
      </c>
      <c r="I19" s="64">
        <v>5.1</v>
      </c>
      <c r="J19" s="64">
        <f>4.085+1.182</f>
        <v>5.2669999999999995</v>
      </c>
      <c r="K19" s="64">
        <v>5.282</v>
      </c>
      <c r="L19" s="64">
        <v>5.319</v>
      </c>
      <c r="M19" s="64">
        <v>5.251</v>
      </c>
      <c r="N19" s="64">
        <f>4.167+1.072</f>
        <v>5.239</v>
      </c>
      <c r="O19" s="64">
        <f>4.503+1.105</f>
        <v>5.6080000000000005</v>
      </c>
      <c r="P19" s="64">
        <f>4.506+1.083</f>
        <v>5.589</v>
      </c>
      <c r="Q19" s="64">
        <f>4.843+1.042</f>
        <v>5.885</v>
      </c>
      <c r="R19" s="64">
        <f>4.935+1.05</f>
        <v>5.984999999999999</v>
      </c>
      <c r="S19" s="64">
        <f>4.954+1.051</f>
        <v>6.005</v>
      </c>
      <c r="T19" s="64">
        <f>4.982+1.045</f>
        <v>6.027</v>
      </c>
      <c r="U19" s="64">
        <f>5.204+1.067</f>
        <v>6.271</v>
      </c>
      <c r="V19" s="64">
        <f>5.559+1.06</f>
        <v>6.619</v>
      </c>
      <c r="W19" s="82">
        <f>5.417+1.057</f>
        <v>6.474</v>
      </c>
      <c r="X19" s="361">
        <f t="shared" si="3"/>
        <v>-2.1906632421815897</v>
      </c>
      <c r="Y19" s="20" t="s">
        <v>38</v>
      </c>
    </row>
    <row r="20" spans="2:25" ht="12.75" customHeight="1">
      <c r="B20" s="126" t="s">
        <v>16</v>
      </c>
      <c r="C20" s="210" t="s">
        <v>47</v>
      </c>
      <c r="D20" s="210" t="s">
        <v>47</v>
      </c>
      <c r="E20" s="211" t="s">
        <v>47</v>
      </c>
      <c r="F20" s="211" t="s">
        <v>47</v>
      </c>
      <c r="G20" s="211" t="s">
        <v>47</v>
      </c>
      <c r="H20" s="211" t="s">
        <v>47</v>
      </c>
      <c r="I20" s="211" t="s">
        <v>47</v>
      </c>
      <c r="J20" s="211" t="s">
        <v>47</v>
      </c>
      <c r="K20" s="211" t="s">
        <v>47</v>
      </c>
      <c r="L20" s="211" t="s">
        <v>47</v>
      </c>
      <c r="M20" s="211" t="s">
        <v>47</v>
      </c>
      <c r="N20" s="211" t="s">
        <v>47</v>
      </c>
      <c r="O20" s="211" t="s">
        <v>47</v>
      </c>
      <c r="P20" s="211" t="s">
        <v>47</v>
      </c>
      <c r="Q20" s="211" t="s">
        <v>47</v>
      </c>
      <c r="R20" s="211" t="s">
        <v>47</v>
      </c>
      <c r="S20" s="211" t="s">
        <v>47</v>
      </c>
      <c r="T20" s="211" t="s">
        <v>47</v>
      </c>
      <c r="U20" s="211" t="s">
        <v>47</v>
      </c>
      <c r="V20" s="211" t="s">
        <v>47</v>
      </c>
      <c r="W20" s="211" t="s">
        <v>47</v>
      </c>
      <c r="X20" s="307"/>
      <c r="Y20" s="126" t="s">
        <v>16</v>
      </c>
    </row>
    <row r="21" spans="1:25" s="356" customFormat="1" ht="12.75" customHeight="1">
      <c r="A21" s="352"/>
      <c r="B21" s="20" t="s">
        <v>20</v>
      </c>
      <c r="C21" s="358" t="s">
        <v>45</v>
      </c>
      <c r="D21" s="358" t="s">
        <v>45</v>
      </c>
      <c r="E21" s="82">
        <f>0.2431*3</f>
        <v>0.7293000000000001</v>
      </c>
      <c r="F21" s="82">
        <f>0.2516*3</f>
        <v>0.7547999999999999</v>
      </c>
      <c r="G21" s="82">
        <f>0.1937*3</f>
        <v>0.5811000000000001</v>
      </c>
      <c r="H21" s="82">
        <f>0.1149*3</f>
        <v>0.3447</v>
      </c>
      <c r="I21" s="82">
        <f>0.1128*3</f>
        <v>0.3384</v>
      </c>
      <c r="J21" s="82">
        <f>0.1012*3</f>
        <v>0.3036</v>
      </c>
      <c r="K21" s="82">
        <f>0.0795*3</f>
        <v>0.2385</v>
      </c>
      <c r="L21" s="82">
        <f>0.0884*3</f>
        <v>0.2652</v>
      </c>
      <c r="M21" s="82">
        <f>0.098*3</f>
        <v>0.29400000000000004</v>
      </c>
      <c r="N21" s="82">
        <f>0.0938*3</f>
        <v>0.2814</v>
      </c>
      <c r="O21" s="82">
        <f>0.0889*3</f>
        <v>0.26670000000000005</v>
      </c>
      <c r="P21" s="82">
        <f>0.0869*3</f>
        <v>0.26070000000000004</v>
      </c>
      <c r="Q21" s="82">
        <f>0.0882*3</f>
        <v>0.2646</v>
      </c>
      <c r="R21" s="82">
        <f>0.0846*3</f>
        <v>0.25379999999999997</v>
      </c>
      <c r="S21" s="82">
        <f>0.0879*3</f>
        <v>0.26370000000000005</v>
      </c>
      <c r="T21" s="82">
        <f>0.0909*3</f>
        <v>0.2727</v>
      </c>
      <c r="U21" s="82">
        <f>0.0931*3</f>
        <v>0.2793</v>
      </c>
      <c r="V21" s="82">
        <f>0.0932*3</f>
        <v>0.2796</v>
      </c>
      <c r="W21" s="82">
        <f>0.0861*3</f>
        <v>0.2583</v>
      </c>
      <c r="X21" s="361">
        <f t="shared" si="3"/>
        <v>-7.6180257510729765</v>
      </c>
      <c r="Y21" s="20" t="s">
        <v>20</v>
      </c>
    </row>
    <row r="22" spans="2:25" ht="12.75" customHeight="1">
      <c r="B22" s="126" t="s">
        <v>21</v>
      </c>
      <c r="C22" s="210" t="s">
        <v>47</v>
      </c>
      <c r="D22" s="210" t="s">
        <v>47</v>
      </c>
      <c r="E22" s="211" t="s">
        <v>47</v>
      </c>
      <c r="F22" s="211" t="s">
        <v>47</v>
      </c>
      <c r="G22" s="211" t="s">
        <v>47</v>
      </c>
      <c r="H22" s="211" t="s">
        <v>47</v>
      </c>
      <c r="I22" s="211" t="s">
        <v>47</v>
      </c>
      <c r="J22" s="211" t="s">
        <v>47</v>
      </c>
      <c r="K22" s="211" t="s">
        <v>47</v>
      </c>
      <c r="L22" s="211" t="s">
        <v>47</v>
      </c>
      <c r="M22" s="211" t="s">
        <v>47</v>
      </c>
      <c r="N22" s="211" t="s">
        <v>47</v>
      </c>
      <c r="O22" s="211" t="s">
        <v>47</v>
      </c>
      <c r="P22" s="211" t="s">
        <v>47</v>
      </c>
      <c r="Q22" s="211" t="s">
        <v>47</v>
      </c>
      <c r="R22" s="211" t="s">
        <v>47</v>
      </c>
      <c r="S22" s="211" t="s">
        <v>47</v>
      </c>
      <c r="T22" s="211" t="s">
        <v>47</v>
      </c>
      <c r="U22" s="211" t="s">
        <v>47</v>
      </c>
      <c r="V22" s="211" t="s">
        <v>47</v>
      </c>
      <c r="W22" s="211" t="s">
        <v>47</v>
      </c>
      <c r="X22" s="307"/>
      <c r="Y22" s="126" t="s">
        <v>21</v>
      </c>
    </row>
    <row r="23" spans="1:25" s="356" customFormat="1" ht="12.75" customHeight="1">
      <c r="A23" s="352"/>
      <c r="B23" s="20" t="s">
        <v>39</v>
      </c>
      <c r="C23" s="375" t="s">
        <v>47</v>
      </c>
      <c r="D23" s="375" t="s">
        <v>47</v>
      </c>
      <c r="E23" s="26" t="s">
        <v>47</v>
      </c>
      <c r="F23" s="26" t="s">
        <v>47</v>
      </c>
      <c r="G23" s="26" t="s">
        <v>47</v>
      </c>
      <c r="H23" s="26" t="s">
        <v>47</v>
      </c>
      <c r="I23" s="26" t="s">
        <v>47</v>
      </c>
      <c r="J23" s="26" t="s">
        <v>47</v>
      </c>
      <c r="K23" s="26" t="s">
        <v>47</v>
      </c>
      <c r="L23" s="26" t="s">
        <v>47</v>
      </c>
      <c r="M23" s="26" t="s">
        <v>47</v>
      </c>
      <c r="N23" s="26" t="s">
        <v>47</v>
      </c>
      <c r="O23" s="26" t="s">
        <v>47</v>
      </c>
      <c r="P23" s="26" t="s">
        <v>47</v>
      </c>
      <c r="Q23" s="26" t="s">
        <v>47</v>
      </c>
      <c r="R23" s="26" t="s">
        <v>47</v>
      </c>
      <c r="S23" s="26" t="s">
        <v>47</v>
      </c>
      <c r="T23" s="26" t="s">
        <v>47</v>
      </c>
      <c r="U23" s="26" t="s">
        <v>47</v>
      </c>
      <c r="V23" s="26" t="s">
        <v>47</v>
      </c>
      <c r="W23" s="26" t="s">
        <v>47</v>
      </c>
      <c r="X23" s="331"/>
      <c r="Y23" s="20" t="s">
        <v>39</v>
      </c>
    </row>
    <row r="24" spans="2:25" ht="12.75" customHeight="1">
      <c r="B24" s="126" t="s">
        <v>19</v>
      </c>
      <c r="C24" s="177" t="s">
        <v>45</v>
      </c>
      <c r="D24" s="177" t="s">
        <v>45</v>
      </c>
      <c r="E24" s="179" t="s">
        <v>45</v>
      </c>
      <c r="F24" s="179" t="s">
        <v>45</v>
      </c>
      <c r="G24" s="179" t="s">
        <v>45</v>
      </c>
      <c r="H24" s="179" t="s">
        <v>45</v>
      </c>
      <c r="I24" s="179" t="s">
        <v>45</v>
      </c>
      <c r="J24" s="180">
        <v>2.5</v>
      </c>
      <c r="K24" s="180">
        <v>2.5</v>
      </c>
      <c r="L24" s="180">
        <v>2.5</v>
      </c>
      <c r="M24" s="180">
        <v>2.55</v>
      </c>
      <c r="N24" s="179">
        <f>1.193+1.327</f>
        <v>2.52</v>
      </c>
      <c r="O24" s="179">
        <f>1.212+1.358</f>
        <v>2.5700000000000003</v>
      </c>
      <c r="P24" s="179">
        <f>1.214+1.357</f>
        <v>2.5709999999999997</v>
      </c>
      <c r="Q24" s="179">
        <f>1.201+1.335</f>
        <v>2.536</v>
      </c>
      <c r="R24" s="179">
        <f>1.193+1.323</f>
        <v>2.516</v>
      </c>
      <c r="S24" s="179">
        <f>1.169+1.251</f>
        <v>2.42</v>
      </c>
      <c r="T24" s="179">
        <f>1.144+1.209</f>
        <v>2.3529999999999998</v>
      </c>
      <c r="U24" s="179">
        <f>1.113+1.17</f>
        <v>2.283</v>
      </c>
      <c r="V24" s="179">
        <f>1.104+1.176</f>
        <v>2.2800000000000002</v>
      </c>
      <c r="W24" s="179">
        <f>1.095+1.24</f>
        <v>2.335</v>
      </c>
      <c r="X24" s="296">
        <f t="shared" si="3"/>
        <v>2.4122807017543657</v>
      </c>
      <c r="Y24" s="126" t="s">
        <v>19</v>
      </c>
    </row>
    <row r="25" spans="1:25" s="356" customFormat="1" ht="12.75" customHeight="1">
      <c r="A25" s="352"/>
      <c r="B25" s="20" t="s">
        <v>22</v>
      </c>
      <c r="C25" s="375" t="s">
        <v>47</v>
      </c>
      <c r="D25" s="375" t="s">
        <v>47</v>
      </c>
      <c r="E25" s="26" t="s">
        <v>47</v>
      </c>
      <c r="F25" s="26" t="s">
        <v>47</v>
      </c>
      <c r="G25" s="26" t="s">
        <v>47</v>
      </c>
      <c r="H25" s="26" t="s">
        <v>47</v>
      </c>
      <c r="I25" s="26" t="s">
        <v>47</v>
      </c>
      <c r="J25" s="26" t="s">
        <v>47</v>
      </c>
      <c r="K25" s="26" t="s">
        <v>47</v>
      </c>
      <c r="L25" s="26" t="s">
        <v>47</v>
      </c>
      <c r="M25" s="26" t="s">
        <v>47</v>
      </c>
      <c r="N25" s="26" t="s">
        <v>47</v>
      </c>
      <c r="O25" s="26" t="s">
        <v>47</v>
      </c>
      <c r="P25" s="26" t="s">
        <v>47</v>
      </c>
      <c r="Q25" s="26" t="s">
        <v>47</v>
      </c>
      <c r="R25" s="26" t="s">
        <v>47</v>
      </c>
      <c r="S25" s="26" t="s">
        <v>47</v>
      </c>
      <c r="T25" s="26" t="s">
        <v>47</v>
      </c>
      <c r="U25" s="26" t="s">
        <v>47</v>
      </c>
      <c r="V25" s="26" t="s">
        <v>47</v>
      </c>
      <c r="W25" s="26" t="s">
        <v>47</v>
      </c>
      <c r="X25" s="331"/>
      <c r="Y25" s="20" t="s">
        <v>22</v>
      </c>
    </row>
    <row r="26" spans="2:25" ht="12.75" customHeight="1">
      <c r="B26" s="92" t="s">
        <v>30</v>
      </c>
      <c r="C26" s="177">
        <v>1.24</v>
      </c>
      <c r="D26" s="177">
        <v>1.35</v>
      </c>
      <c r="E26" s="179">
        <v>1.26</v>
      </c>
      <c r="F26" s="179">
        <v>1.29</v>
      </c>
      <c r="G26" s="179">
        <v>1.32</v>
      </c>
      <c r="H26" s="179">
        <v>1.34</v>
      </c>
      <c r="I26" s="179">
        <v>1.39</v>
      </c>
      <c r="J26" s="179">
        <v>1.38</v>
      </c>
      <c r="K26" s="179">
        <v>1.39</v>
      </c>
      <c r="L26" s="180">
        <v>1.4</v>
      </c>
      <c r="M26" s="180">
        <v>1.4</v>
      </c>
      <c r="N26" s="180">
        <v>1.42</v>
      </c>
      <c r="O26" s="180">
        <v>1.43</v>
      </c>
      <c r="P26" s="180">
        <v>1.438</v>
      </c>
      <c r="Q26" s="180">
        <v>1.45</v>
      </c>
      <c r="R26" s="180">
        <v>1.48</v>
      </c>
      <c r="S26" s="180">
        <v>1.5</v>
      </c>
      <c r="T26" s="180">
        <v>1.5</v>
      </c>
      <c r="U26" s="180">
        <v>1.5</v>
      </c>
      <c r="V26" s="180">
        <v>1.52</v>
      </c>
      <c r="W26" s="180">
        <v>1.55</v>
      </c>
      <c r="X26" s="295">
        <f t="shared" si="3"/>
        <v>1.9736842105263275</v>
      </c>
      <c r="Y26" s="92" t="s">
        <v>30</v>
      </c>
    </row>
    <row r="27" spans="1:25" s="356" customFormat="1" ht="12.75" customHeight="1">
      <c r="A27" s="352"/>
      <c r="B27" s="20" t="s">
        <v>40</v>
      </c>
      <c r="C27" s="358">
        <v>1.5</v>
      </c>
      <c r="D27" s="358">
        <v>1.65</v>
      </c>
      <c r="E27" s="64">
        <v>2.796</v>
      </c>
      <c r="F27" s="64">
        <v>2.926</v>
      </c>
      <c r="G27" s="64">
        <v>2.941</v>
      </c>
      <c r="H27" s="64">
        <v>3.1</v>
      </c>
      <c r="I27" s="64">
        <v>3.154</v>
      </c>
      <c r="J27" s="64">
        <v>3.3</v>
      </c>
      <c r="K27" s="64">
        <v>3.451</v>
      </c>
      <c r="L27" s="64">
        <v>3.407</v>
      </c>
      <c r="M27" s="64">
        <v>3.46</v>
      </c>
      <c r="N27" s="64">
        <v>3.536</v>
      </c>
      <c r="O27" s="64">
        <v>3.577</v>
      </c>
      <c r="P27" s="64">
        <v>3.618</v>
      </c>
      <c r="Q27" s="64">
        <v>3.613</v>
      </c>
      <c r="R27" s="64">
        <v>3.604</v>
      </c>
      <c r="S27" s="64">
        <v>3.676</v>
      </c>
      <c r="T27" s="64">
        <v>3.77</v>
      </c>
      <c r="U27" s="64">
        <v>3.866</v>
      </c>
      <c r="V27" s="64">
        <v>3.867</v>
      </c>
      <c r="W27" s="64">
        <v>3.961</v>
      </c>
      <c r="X27" s="355">
        <f t="shared" si="3"/>
        <v>2.4308249288854444</v>
      </c>
      <c r="Y27" s="20" t="s">
        <v>40</v>
      </c>
    </row>
    <row r="28" spans="2:25" ht="12.75" customHeight="1">
      <c r="B28" s="126" t="s">
        <v>23</v>
      </c>
      <c r="C28" s="177" t="s">
        <v>45</v>
      </c>
      <c r="D28" s="177" t="s">
        <v>45</v>
      </c>
      <c r="E28" s="179" t="s">
        <v>45</v>
      </c>
      <c r="F28" s="179" t="s">
        <v>45</v>
      </c>
      <c r="G28" s="179" t="s">
        <v>45</v>
      </c>
      <c r="H28" s="179" t="s">
        <v>45</v>
      </c>
      <c r="I28" s="179" t="s">
        <v>45</v>
      </c>
      <c r="J28" s="180">
        <v>5</v>
      </c>
      <c r="K28" s="180">
        <v>4.9</v>
      </c>
      <c r="L28" s="180">
        <v>4.85</v>
      </c>
      <c r="M28" s="180">
        <v>4.8</v>
      </c>
      <c r="N28" s="180">
        <v>4.75</v>
      </c>
      <c r="O28" s="180">
        <v>4.7</v>
      </c>
      <c r="P28" s="180">
        <v>4.65</v>
      </c>
      <c r="Q28" s="180">
        <v>4.62</v>
      </c>
      <c r="R28" s="180">
        <v>4.5</v>
      </c>
      <c r="S28" s="180">
        <v>4.5</v>
      </c>
      <c r="T28" s="180">
        <v>4.4</v>
      </c>
      <c r="U28" s="180">
        <v>4.45</v>
      </c>
      <c r="V28" s="180">
        <v>4.6</v>
      </c>
      <c r="W28" s="180">
        <v>4.6</v>
      </c>
      <c r="X28" s="295">
        <f t="shared" si="3"/>
        <v>0</v>
      </c>
      <c r="Y28" s="126" t="s">
        <v>23</v>
      </c>
    </row>
    <row r="29" spans="1:25" s="356" customFormat="1" ht="12.75" customHeight="1">
      <c r="A29" s="352"/>
      <c r="B29" s="20" t="s">
        <v>41</v>
      </c>
      <c r="C29" s="358">
        <v>0.93</v>
      </c>
      <c r="D29" s="358">
        <v>0.74</v>
      </c>
      <c r="E29" s="64">
        <v>0.67</v>
      </c>
      <c r="F29" s="64">
        <v>0.65</v>
      </c>
      <c r="G29" s="64">
        <v>0.63</v>
      </c>
      <c r="H29" s="64">
        <v>0.61</v>
      </c>
      <c r="I29" s="64">
        <v>0.58</v>
      </c>
      <c r="J29" s="64">
        <v>0.53</v>
      </c>
      <c r="K29" s="64">
        <v>0.54</v>
      </c>
      <c r="L29" s="64">
        <v>0.5</v>
      </c>
      <c r="M29" s="64">
        <v>0.5</v>
      </c>
      <c r="N29" s="64">
        <v>0.5</v>
      </c>
      <c r="O29" s="64">
        <v>0.53</v>
      </c>
      <c r="P29" s="64">
        <v>0.545</v>
      </c>
      <c r="Q29" s="64">
        <v>0.55</v>
      </c>
      <c r="R29" s="64">
        <v>0.77</v>
      </c>
      <c r="S29" s="64">
        <v>0.847</v>
      </c>
      <c r="T29" s="64">
        <f>0.80121+0.046506</f>
        <v>0.847716</v>
      </c>
      <c r="U29" s="64">
        <f>0.785327+0.202473</f>
        <v>0.9878</v>
      </c>
      <c r="V29" s="64">
        <f>0.803969+0.245921</f>
        <v>1.04989</v>
      </c>
      <c r="W29" s="64">
        <f>0.8354+0.259361</f>
        <v>1.094761</v>
      </c>
      <c r="X29" s="355">
        <f t="shared" si="3"/>
        <v>4.273876310851632</v>
      </c>
      <c r="Y29" s="20" t="s">
        <v>41</v>
      </c>
    </row>
    <row r="30" spans="2:25" ht="12.75" customHeight="1">
      <c r="B30" s="126" t="s">
        <v>24</v>
      </c>
      <c r="C30" s="177"/>
      <c r="D30" s="177"/>
      <c r="E30" s="179"/>
      <c r="F30" s="179"/>
      <c r="G30" s="179"/>
      <c r="H30" s="179"/>
      <c r="I30" s="179"/>
      <c r="J30" s="180">
        <v>6</v>
      </c>
      <c r="K30" s="180">
        <v>6</v>
      </c>
      <c r="L30" s="180">
        <v>6</v>
      </c>
      <c r="M30" s="180">
        <v>6</v>
      </c>
      <c r="N30" s="180">
        <v>6</v>
      </c>
      <c r="O30" s="180">
        <v>6</v>
      </c>
      <c r="P30" s="180">
        <v>6</v>
      </c>
      <c r="Q30" s="180">
        <v>6</v>
      </c>
      <c r="R30" s="179">
        <v>5.777215</v>
      </c>
      <c r="S30" s="179">
        <v>6.192045</v>
      </c>
      <c r="T30" s="179">
        <v>6.596908000000001</v>
      </c>
      <c r="U30" s="180">
        <v>6.8</v>
      </c>
      <c r="V30" s="180">
        <v>6.9</v>
      </c>
      <c r="W30" s="180">
        <v>7</v>
      </c>
      <c r="X30" s="295">
        <f t="shared" si="3"/>
        <v>1.4492753623188248</v>
      </c>
      <c r="Y30" s="126" t="s">
        <v>24</v>
      </c>
    </row>
    <row r="31" spans="2:25" ht="12.75" customHeight="1">
      <c r="B31" s="20" t="s">
        <v>26</v>
      </c>
      <c r="C31" s="174" t="s">
        <v>47</v>
      </c>
      <c r="D31" s="174" t="s">
        <v>47</v>
      </c>
      <c r="E31" s="175" t="s">
        <v>47</v>
      </c>
      <c r="F31" s="175" t="s">
        <v>47</v>
      </c>
      <c r="G31" s="175" t="s">
        <v>47</v>
      </c>
      <c r="H31" s="175" t="s">
        <v>47</v>
      </c>
      <c r="I31" s="175" t="s">
        <v>47</v>
      </c>
      <c r="J31" s="175" t="s">
        <v>47</v>
      </c>
      <c r="K31" s="175" t="s">
        <v>47</v>
      </c>
      <c r="L31" s="175" t="s">
        <v>47</v>
      </c>
      <c r="M31" s="175" t="s">
        <v>47</v>
      </c>
      <c r="N31" s="175" t="s">
        <v>47</v>
      </c>
      <c r="O31" s="175" t="s">
        <v>47</v>
      </c>
      <c r="P31" s="175" t="s">
        <v>47</v>
      </c>
      <c r="Q31" s="175" t="s">
        <v>47</v>
      </c>
      <c r="R31" s="175" t="s">
        <v>47</v>
      </c>
      <c r="S31" s="175" t="s">
        <v>47</v>
      </c>
      <c r="T31" s="175" t="s">
        <v>47</v>
      </c>
      <c r="U31" s="175" t="s">
        <v>47</v>
      </c>
      <c r="V31" s="175" t="s">
        <v>47</v>
      </c>
      <c r="W31" s="175" t="s">
        <v>47</v>
      </c>
      <c r="X31" s="308"/>
      <c r="Y31" s="20" t="s">
        <v>26</v>
      </c>
    </row>
    <row r="32" spans="2:25" ht="12.75" customHeight="1">
      <c r="B32" s="126" t="s">
        <v>25</v>
      </c>
      <c r="C32" s="177"/>
      <c r="D32" s="177"/>
      <c r="E32" s="179"/>
      <c r="F32" s="179"/>
      <c r="G32" s="179"/>
      <c r="H32" s="179" t="s">
        <v>45</v>
      </c>
      <c r="I32" s="179" t="s">
        <v>45</v>
      </c>
      <c r="J32" s="180">
        <f>0.14623*3</f>
        <v>0.43869</v>
      </c>
      <c r="K32" s="180">
        <v>0.42</v>
      </c>
      <c r="L32" s="180">
        <v>0.4</v>
      </c>
      <c r="M32" s="180">
        <f>0.126488*3</f>
        <v>0.37946399999999997</v>
      </c>
      <c r="N32" s="180">
        <f>0.117714*3</f>
        <v>0.353142</v>
      </c>
      <c r="O32" s="180">
        <v>0.35</v>
      </c>
      <c r="P32" s="179">
        <v>0.35736278</v>
      </c>
      <c r="Q32" s="179">
        <v>0.35821163</v>
      </c>
      <c r="R32" s="179">
        <v>0.36700559999999993</v>
      </c>
      <c r="S32" s="179">
        <v>0.36223677000000004</v>
      </c>
      <c r="T32" s="179">
        <v>0.38621753999999997</v>
      </c>
      <c r="U32" s="179">
        <v>0.384426</v>
      </c>
      <c r="V32" s="179">
        <f>0.109705*3.6</f>
        <v>0.394938</v>
      </c>
      <c r="W32" s="179">
        <f>0.10708*3.43</f>
        <v>0.3672844</v>
      </c>
      <c r="X32" s="296">
        <f t="shared" si="3"/>
        <v>-7.0020104421453455</v>
      </c>
      <c r="Y32" s="126" t="s">
        <v>25</v>
      </c>
    </row>
    <row r="33" spans="2:25" ht="12.75" customHeight="1">
      <c r="B33" s="20" t="s">
        <v>42</v>
      </c>
      <c r="C33" s="166">
        <v>0.1</v>
      </c>
      <c r="D33" s="166">
        <v>0.13</v>
      </c>
      <c r="E33" s="168">
        <v>0.35</v>
      </c>
      <c r="F33" s="168">
        <v>0.34</v>
      </c>
      <c r="G33" s="168">
        <v>0.345</v>
      </c>
      <c r="H33" s="168">
        <f>0.0993+0.2581</f>
        <v>0.3574</v>
      </c>
      <c r="I33" s="168">
        <v>0.37</v>
      </c>
      <c r="J33" s="168">
        <f>0.1091+0.2785</f>
        <v>0.38760000000000006</v>
      </c>
      <c r="K33" s="168">
        <v>0.4</v>
      </c>
      <c r="L33" s="168">
        <f>0.1162+0.3006</f>
        <v>0.41679999999999995</v>
      </c>
      <c r="M33" s="168">
        <v>0.439</v>
      </c>
      <c r="N33" s="168">
        <f>0.1205+0.3598</f>
        <v>0.4803</v>
      </c>
      <c r="O33" s="168">
        <f>0.118+0.379</f>
        <v>0.497</v>
      </c>
      <c r="P33" s="168">
        <f>0.1193+0.3853</f>
        <v>0.5045999999999999</v>
      </c>
      <c r="Q33" s="168">
        <f>0.1167+0.4008</f>
        <v>0.5175</v>
      </c>
      <c r="R33" s="168">
        <f>0.1182+0.4041</f>
        <v>0.5223</v>
      </c>
      <c r="S33" s="168">
        <f>0.119+0.404</f>
        <v>0.523</v>
      </c>
      <c r="T33" s="168">
        <f>0.117+0.409</f>
        <v>0.526</v>
      </c>
      <c r="U33" s="168">
        <f>0.11+0.414</f>
        <v>0.524</v>
      </c>
      <c r="V33" s="168">
        <f>0.11+0.41</f>
        <v>0.52</v>
      </c>
      <c r="W33" s="168">
        <f>0.112+0.42</f>
        <v>0.532</v>
      </c>
      <c r="X33" s="294">
        <f t="shared" si="3"/>
        <v>2.3076923076922995</v>
      </c>
      <c r="Y33" s="20" t="s">
        <v>42</v>
      </c>
    </row>
    <row r="34" spans="2:25" ht="12.75" customHeight="1">
      <c r="B34" s="126" t="s">
        <v>43</v>
      </c>
      <c r="C34" s="177">
        <v>1.44</v>
      </c>
      <c r="D34" s="177">
        <v>1.97</v>
      </c>
      <c r="E34" s="179">
        <v>2.01</v>
      </c>
      <c r="F34" s="179">
        <v>1.93</v>
      </c>
      <c r="G34" s="179">
        <v>1.91</v>
      </c>
      <c r="H34" s="179">
        <v>1.91</v>
      </c>
      <c r="I34" s="179">
        <v>1.89</v>
      </c>
      <c r="J34" s="179">
        <v>1.94</v>
      </c>
      <c r="K34" s="178">
        <v>1.98</v>
      </c>
      <c r="L34" s="179">
        <f>1.496+0.375</f>
        <v>1.871</v>
      </c>
      <c r="M34" s="179">
        <f>1.505+0.374</f>
        <v>1.879</v>
      </c>
      <c r="N34" s="179">
        <f>1.526+0.38</f>
        <v>1.9060000000000001</v>
      </c>
      <c r="O34" s="179">
        <f>1.588+0.394</f>
        <v>1.9820000000000002</v>
      </c>
      <c r="P34" s="179">
        <f>1.581+0.41</f>
        <v>1.9909999999999999</v>
      </c>
      <c r="Q34" s="179">
        <f>1.578+0.415</f>
        <v>1.993</v>
      </c>
      <c r="R34" s="179">
        <f>1.558+0.436</f>
        <v>1.994</v>
      </c>
      <c r="S34" s="179">
        <f>1.556+0.462</f>
        <v>2.0180000000000002</v>
      </c>
      <c r="T34" s="179">
        <f>1.541+0.473</f>
        <v>2.014</v>
      </c>
      <c r="U34" s="179">
        <f>1.657+0.482</f>
        <v>2.1390000000000002</v>
      </c>
      <c r="V34" s="179">
        <f>1.69+0.514</f>
        <v>2.2039999999999997</v>
      </c>
      <c r="W34" s="179">
        <f>1.715+0.524</f>
        <v>2.239</v>
      </c>
      <c r="X34" s="296">
        <f t="shared" si="3"/>
        <v>1.588021778584392</v>
      </c>
      <c r="Y34" s="126" t="s">
        <v>43</v>
      </c>
    </row>
    <row r="35" spans="2:25" ht="12.75" customHeight="1">
      <c r="B35" s="21" t="s">
        <v>31</v>
      </c>
      <c r="C35" s="166">
        <v>5.2</v>
      </c>
      <c r="D35" s="166">
        <v>4.3</v>
      </c>
      <c r="E35" s="168">
        <v>6.5</v>
      </c>
      <c r="F35" s="168">
        <v>6.24</v>
      </c>
      <c r="G35" s="168">
        <v>6.15</v>
      </c>
      <c r="H35" s="168">
        <v>6.24</v>
      </c>
      <c r="I35" s="168">
        <v>6.507</v>
      </c>
      <c r="J35" s="168">
        <v>6.811</v>
      </c>
      <c r="K35" s="168">
        <v>6.648</v>
      </c>
      <c r="L35" s="168">
        <v>6.998</v>
      </c>
      <c r="M35" s="168">
        <v>7.297</v>
      </c>
      <c r="N35" s="168">
        <v>7.846</v>
      </c>
      <c r="O35" s="168">
        <v>8.3</v>
      </c>
      <c r="P35" s="168">
        <v>8.304</v>
      </c>
      <c r="Q35" s="168">
        <v>8.288</v>
      </c>
      <c r="R35" s="168">
        <v>8.285</v>
      </c>
      <c r="S35" s="168">
        <v>8.639</v>
      </c>
      <c r="T35" s="168">
        <f>7.586+1.052</f>
        <v>8.638</v>
      </c>
      <c r="U35" s="168">
        <f>7.947+1.12</f>
        <v>9.067</v>
      </c>
      <c r="V35" s="168">
        <f>8.352+1.185</f>
        <v>9.537</v>
      </c>
      <c r="W35" s="168">
        <f>8.646+1.191</f>
        <v>9.837000000000002</v>
      </c>
      <c r="X35" s="294">
        <f t="shared" si="3"/>
        <v>3.1456432840516024</v>
      </c>
      <c r="Y35" s="21" t="s">
        <v>31</v>
      </c>
    </row>
    <row r="36" spans="2:25" ht="12.75" customHeight="1">
      <c r="B36" s="126" t="s">
        <v>50</v>
      </c>
      <c r="C36" s="188"/>
      <c r="D36" s="188"/>
      <c r="E36" s="189"/>
      <c r="F36" s="189"/>
      <c r="G36" s="189"/>
      <c r="H36" s="189">
        <f>0.182209*3</f>
        <v>0.546627</v>
      </c>
      <c r="I36" s="189">
        <f>0.180867*3</f>
        <v>0.542601</v>
      </c>
      <c r="J36" s="189">
        <f>0.175132*3</f>
        <v>0.525396</v>
      </c>
      <c r="K36" s="189">
        <f>0.162293*3</f>
        <v>0.48687899999999995</v>
      </c>
      <c r="L36" s="189">
        <f>0.166031*3</f>
        <v>0.498093</v>
      </c>
      <c r="M36" s="189">
        <f>0.162632*3</f>
        <v>0.487896</v>
      </c>
      <c r="N36" s="189">
        <f>0.162422*3</f>
        <v>0.48726600000000003</v>
      </c>
      <c r="O36" s="189">
        <f>0.168057*3</f>
        <v>0.504171</v>
      </c>
      <c r="P36" s="189">
        <f>0.177248*3</f>
        <v>0.531744</v>
      </c>
      <c r="Q36" s="189">
        <f>0.178246*3</f>
        <v>0.5347379999999999</v>
      </c>
      <c r="R36" s="189">
        <f>0.183436*3</f>
        <v>0.550308</v>
      </c>
      <c r="S36" s="189">
        <f>0.176361*3</f>
        <v>0.529083</v>
      </c>
      <c r="T36" s="189">
        <f>0.177722*3</f>
        <v>0.533166</v>
      </c>
      <c r="U36" s="189">
        <f>0.186591*3</f>
        <v>0.5597730000000001</v>
      </c>
      <c r="V36" s="189">
        <f>0.22032*3</f>
        <v>0.66096</v>
      </c>
      <c r="W36" s="189">
        <f>0.207868*3</f>
        <v>0.623604</v>
      </c>
      <c r="X36" s="304">
        <f t="shared" si="3"/>
        <v>-5.651779230210597</v>
      </c>
      <c r="Y36" s="126" t="s">
        <v>50</v>
      </c>
    </row>
    <row r="37" spans="1:25" s="356" customFormat="1" ht="12.75" customHeight="1">
      <c r="A37" s="352"/>
      <c r="B37" s="20" t="s">
        <v>9</v>
      </c>
      <c r="C37" s="375" t="s">
        <v>47</v>
      </c>
      <c r="D37" s="375" t="s">
        <v>47</v>
      </c>
      <c r="E37" s="26" t="s">
        <v>47</v>
      </c>
      <c r="F37" s="26" t="s">
        <v>47</v>
      </c>
      <c r="G37" s="26" t="s">
        <v>47</v>
      </c>
      <c r="H37" s="26" t="s">
        <v>47</v>
      </c>
      <c r="I37" s="26" t="s">
        <v>47</v>
      </c>
      <c r="J37" s="26" t="s">
        <v>47</v>
      </c>
      <c r="K37" s="26" t="s">
        <v>47</v>
      </c>
      <c r="L37" s="26" t="s">
        <v>47</v>
      </c>
      <c r="M37" s="26" t="s">
        <v>47</v>
      </c>
      <c r="N37" s="26" t="s">
        <v>47</v>
      </c>
      <c r="O37" s="26" t="s">
        <v>47</v>
      </c>
      <c r="P37" s="26" t="s">
        <v>47</v>
      </c>
      <c r="Q37" s="26" t="s">
        <v>47</v>
      </c>
      <c r="R37" s="26" t="s">
        <v>47</v>
      </c>
      <c r="S37" s="26" t="s">
        <v>47</v>
      </c>
      <c r="T37" s="26" t="s">
        <v>47</v>
      </c>
      <c r="U37" s="26" t="s">
        <v>47</v>
      </c>
      <c r="V37" s="26" t="s">
        <v>47</v>
      </c>
      <c r="W37" s="26" t="s">
        <v>47</v>
      </c>
      <c r="X37" s="331"/>
      <c r="Y37" s="20" t="s">
        <v>9</v>
      </c>
    </row>
    <row r="38" spans="2:25" ht="12.75" customHeight="1">
      <c r="B38" s="127" t="s">
        <v>27</v>
      </c>
      <c r="C38" s="186"/>
      <c r="D38" s="186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309"/>
      <c r="Y38" s="127" t="s">
        <v>27</v>
      </c>
    </row>
    <row r="39" spans="1:25" s="356" customFormat="1" ht="12.75" customHeight="1">
      <c r="A39" s="352"/>
      <c r="B39" s="20" t="s">
        <v>13</v>
      </c>
      <c r="C39" s="376" t="s">
        <v>47</v>
      </c>
      <c r="D39" s="376" t="s">
        <v>47</v>
      </c>
      <c r="E39" s="377" t="s">
        <v>47</v>
      </c>
      <c r="F39" s="377" t="s">
        <v>47</v>
      </c>
      <c r="G39" s="377" t="s">
        <v>47</v>
      </c>
      <c r="H39" s="377" t="s">
        <v>47</v>
      </c>
      <c r="I39" s="377" t="s">
        <v>47</v>
      </c>
      <c r="J39" s="377" t="s">
        <v>47</v>
      </c>
      <c r="K39" s="377" t="s">
        <v>47</v>
      </c>
      <c r="L39" s="377" t="s">
        <v>47</v>
      </c>
      <c r="M39" s="377" t="s">
        <v>47</v>
      </c>
      <c r="N39" s="377" t="s">
        <v>47</v>
      </c>
      <c r="O39" s="377" t="s">
        <v>47</v>
      </c>
      <c r="P39" s="377" t="s">
        <v>47</v>
      </c>
      <c r="Q39" s="377" t="s">
        <v>47</v>
      </c>
      <c r="R39" s="377" t="s">
        <v>47</v>
      </c>
      <c r="S39" s="377" t="s">
        <v>47</v>
      </c>
      <c r="T39" s="377" t="s">
        <v>47</v>
      </c>
      <c r="U39" s="377" t="s">
        <v>47</v>
      </c>
      <c r="V39" s="377" t="s">
        <v>47</v>
      </c>
      <c r="W39" s="377" t="s">
        <v>47</v>
      </c>
      <c r="X39" s="330"/>
      <c r="Y39" s="20" t="s">
        <v>13</v>
      </c>
    </row>
    <row r="40" spans="2:25" ht="12.75" customHeight="1">
      <c r="B40" s="126" t="s">
        <v>44</v>
      </c>
      <c r="C40" s="177">
        <v>0.428</v>
      </c>
      <c r="D40" s="177">
        <v>0.501</v>
      </c>
      <c r="E40" s="179">
        <v>0.419</v>
      </c>
      <c r="F40" s="179">
        <v>0.42</v>
      </c>
      <c r="G40" s="179">
        <v>0.349</v>
      </c>
      <c r="H40" s="179">
        <v>0.37</v>
      </c>
      <c r="I40" s="179">
        <v>0.375</v>
      </c>
      <c r="J40" s="179">
        <v>0.381</v>
      </c>
      <c r="K40" s="179">
        <v>0.419</v>
      </c>
      <c r="L40" s="179">
        <v>0.427</v>
      </c>
      <c r="M40" s="179">
        <v>0.469</v>
      </c>
      <c r="N40" s="179">
        <v>0.507</v>
      </c>
      <c r="O40" s="179">
        <v>0.496</v>
      </c>
      <c r="P40" s="179">
        <v>0.508</v>
      </c>
      <c r="Q40" s="179">
        <v>0.498</v>
      </c>
      <c r="R40" s="179">
        <v>0.476</v>
      </c>
      <c r="S40" s="179">
        <v>0.458</v>
      </c>
      <c r="T40" s="179">
        <v>0.518</v>
      </c>
      <c r="U40" s="179">
        <v>0.508</v>
      </c>
      <c r="V40" s="179">
        <v>0.535</v>
      </c>
      <c r="W40" s="179">
        <v>0.572</v>
      </c>
      <c r="X40" s="296">
        <f t="shared" si="3"/>
        <v>6.915887850467284</v>
      </c>
      <c r="Y40" s="126" t="s">
        <v>44</v>
      </c>
    </row>
    <row r="41" spans="1:25" s="356" customFormat="1" ht="12.75" customHeight="1">
      <c r="A41" s="352"/>
      <c r="B41" s="21" t="s">
        <v>14</v>
      </c>
      <c r="C41" s="370"/>
      <c r="D41" s="370"/>
      <c r="E41" s="371"/>
      <c r="F41" s="371"/>
      <c r="G41" s="371"/>
      <c r="H41" s="371"/>
      <c r="I41" s="371"/>
      <c r="J41" s="371">
        <v>1.5002</v>
      </c>
      <c r="K41" s="371">
        <v>1.5463</v>
      </c>
      <c r="L41" s="371">
        <v>1.5072</v>
      </c>
      <c r="M41" s="371">
        <v>1.3951</v>
      </c>
      <c r="N41" s="371">
        <v>1.403</v>
      </c>
      <c r="O41" s="371">
        <v>1.403</v>
      </c>
      <c r="P41" s="371">
        <v>1.4358</v>
      </c>
      <c r="Q41" s="371">
        <v>1.4478</v>
      </c>
      <c r="R41" s="371">
        <v>1.4394</v>
      </c>
      <c r="S41" s="371">
        <v>1.4695</v>
      </c>
      <c r="T41" s="371">
        <v>1.4575</v>
      </c>
      <c r="U41" s="371">
        <v>1.4745</v>
      </c>
      <c r="V41" s="371">
        <v>1.5314</v>
      </c>
      <c r="W41" s="373">
        <v>1.56</v>
      </c>
      <c r="X41" s="374">
        <f t="shared" si="3"/>
        <v>1.8675721561969505</v>
      </c>
      <c r="Y41" s="21" t="s">
        <v>14</v>
      </c>
    </row>
    <row r="42" spans="2:26" ht="15" customHeight="1">
      <c r="B42" s="427" t="s">
        <v>106</v>
      </c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2"/>
    </row>
    <row r="43" spans="2:26" ht="12.75" customHeight="1">
      <c r="B43" s="2" t="s">
        <v>10</v>
      </c>
      <c r="C43" s="378"/>
      <c r="D43" s="378"/>
      <c r="E43" s="378"/>
      <c r="F43" s="378"/>
      <c r="G43" s="378"/>
      <c r="H43" s="379"/>
      <c r="I43" s="378"/>
      <c r="J43" s="378"/>
      <c r="K43" s="378"/>
      <c r="L43" s="378"/>
      <c r="M43" s="378"/>
      <c r="N43" s="378"/>
      <c r="O43" s="378"/>
      <c r="P43" s="22"/>
      <c r="Q43" s="379"/>
      <c r="R43" s="68"/>
      <c r="S43" s="378"/>
      <c r="T43" s="378"/>
      <c r="U43" s="378"/>
      <c r="V43" s="378"/>
      <c r="W43" s="378"/>
      <c r="X43" s="306"/>
      <c r="Y43" s="378"/>
      <c r="Z43" s="1"/>
    </row>
    <row r="44" spans="2:24" ht="12.75" customHeight="1">
      <c r="B44" s="75" t="s">
        <v>125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143"/>
      <c r="T44" s="143"/>
      <c r="U44" s="143"/>
      <c r="V44" s="143"/>
      <c r="W44" s="143"/>
      <c r="X44" s="143"/>
    </row>
    <row r="45" spans="2:24" ht="12.75" customHeight="1">
      <c r="B45" s="56" t="s">
        <v>123</v>
      </c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</row>
    <row r="46" spans="2:24" ht="12.75" customHeight="1">
      <c r="B46" s="142" t="s">
        <v>96</v>
      </c>
      <c r="C46" s="75"/>
      <c r="D46" s="75"/>
      <c r="E46" s="75"/>
      <c r="F46" s="75"/>
      <c r="G46" s="75"/>
      <c r="H46" s="75"/>
      <c r="I46" s="75"/>
      <c r="J46" s="142" t="s">
        <v>99</v>
      </c>
      <c r="L46" s="75"/>
      <c r="M46" s="75"/>
      <c r="N46" s="75"/>
      <c r="O46" s="75"/>
      <c r="P46" s="75"/>
      <c r="Q46" s="75"/>
      <c r="R46" s="75"/>
      <c r="S46" s="79"/>
      <c r="T46" s="79"/>
      <c r="U46" s="79"/>
      <c r="V46" s="79"/>
      <c r="W46" s="79"/>
      <c r="X46" s="143"/>
    </row>
    <row r="47" ht="12.75" customHeight="1">
      <c r="B47" s="75"/>
    </row>
  </sheetData>
  <mergeCells count="2">
    <mergeCell ref="B2:Y2"/>
    <mergeCell ref="B42:Y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8"/>
  <dimension ref="A1:Z46"/>
  <sheetViews>
    <sheetView workbookViewId="0" topLeftCell="A1">
      <selection activeCell="AD12" sqref="AD12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00390625" style="3" customWidth="1"/>
    <col min="25" max="25" width="4.00390625" style="3" customWidth="1"/>
    <col min="26" max="26" width="6.28125" style="3" customWidth="1"/>
    <col min="27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43"/>
      <c r="U1" s="44"/>
      <c r="V1" s="44"/>
      <c r="W1" s="44"/>
      <c r="Y1" s="44" t="s">
        <v>55</v>
      </c>
    </row>
    <row r="2" spans="2:25" s="75" customFormat="1" ht="30" customHeight="1">
      <c r="B2" s="428" t="s">
        <v>59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</row>
    <row r="3" spans="3:25" ht="12.7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W3" s="25" t="s">
        <v>7</v>
      </c>
      <c r="X3" s="6"/>
      <c r="Y3" s="25"/>
    </row>
    <row r="4" spans="2:26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17"/>
      <c r="Z4" s="17"/>
    </row>
    <row r="5" spans="2:26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17"/>
      <c r="Z5" s="17"/>
    </row>
    <row r="6" spans="2:26" ht="12.75" customHeight="1">
      <c r="B6" s="125" t="s">
        <v>79</v>
      </c>
      <c r="C6" s="215">
        <f>20.5+SUM(C9:C35)</f>
        <v>326.43499999999995</v>
      </c>
      <c r="D6" s="215">
        <f>18+SUM(D9:D35)</f>
        <v>365.98</v>
      </c>
      <c r="E6" s="212">
        <f aca="true" t="shared" si="0" ref="E6:L6">SUM(E9:E35)</f>
        <v>400.7069999999999</v>
      </c>
      <c r="F6" s="204">
        <f t="shared" si="0"/>
        <v>385.362</v>
      </c>
      <c r="G6" s="212">
        <f t="shared" si="0"/>
        <v>374.38</v>
      </c>
      <c r="H6" s="212">
        <f t="shared" si="0"/>
        <v>349.074</v>
      </c>
      <c r="I6" s="212">
        <f t="shared" si="0"/>
        <v>342.162</v>
      </c>
      <c r="J6" s="212">
        <f t="shared" si="0"/>
        <v>350.52470000000005</v>
      </c>
      <c r="K6" s="212">
        <f t="shared" si="0"/>
        <v>348.9918000000001</v>
      </c>
      <c r="L6" s="212">
        <f t="shared" si="0"/>
        <v>350.5315999999999</v>
      </c>
      <c r="M6" s="212">
        <f>SUM(M9:M35)</f>
        <v>350.6032000000001</v>
      </c>
      <c r="N6" s="212">
        <f aca="true" t="shared" si="1" ref="N6:U6">SUM(N9:N35)</f>
        <v>358.59970000000004</v>
      </c>
      <c r="O6" s="212">
        <f t="shared" si="1"/>
        <v>370.70809999999994</v>
      </c>
      <c r="P6" s="212">
        <f t="shared" si="1"/>
        <v>372.739349</v>
      </c>
      <c r="Q6" s="212">
        <f t="shared" si="1"/>
        <v>365.5702500000001</v>
      </c>
      <c r="R6" s="212">
        <f t="shared" si="1"/>
        <v>361.88681399999996</v>
      </c>
      <c r="S6" s="212">
        <f t="shared" si="1"/>
        <v>367.816833</v>
      </c>
      <c r="T6" s="212">
        <f t="shared" si="1"/>
        <v>376.9683990000001</v>
      </c>
      <c r="U6" s="212">
        <f t="shared" si="1"/>
        <v>388.878911</v>
      </c>
      <c r="V6" s="212">
        <f>SUM(V9:V35)</f>
        <v>395.29815400000007</v>
      </c>
      <c r="W6" s="212">
        <f>SUM(W9:W35)</f>
        <v>409.19773000000015</v>
      </c>
      <c r="X6" s="310">
        <f>(W6/V6-1)*100</f>
        <v>3.516225881489965</v>
      </c>
      <c r="Y6" s="125" t="s">
        <v>79</v>
      </c>
      <c r="Z6" s="17"/>
    </row>
    <row r="7" spans="1:26" ht="12.75" customHeight="1">
      <c r="A7" s="18"/>
      <c r="B7" s="126" t="s">
        <v>32</v>
      </c>
      <c r="C7" s="216">
        <f aca="true" t="shared" si="2" ref="C7:L7">SUM(C9,C12:C13,C15:C19,C23,C26:C27,C29,C33:C35)</f>
        <v>220.18699999999993</v>
      </c>
      <c r="D7" s="216">
        <f t="shared" si="2"/>
        <v>246.903</v>
      </c>
      <c r="E7" s="213">
        <f t="shared" si="2"/>
        <v>268.917</v>
      </c>
      <c r="F7" s="213">
        <f t="shared" si="2"/>
        <v>277.34700000000004</v>
      </c>
      <c r="G7" s="213">
        <f t="shared" si="2"/>
        <v>278.47099999999995</v>
      </c>
      <c r="H7" s="213">
        <f t="shared" si="2"/>
        <v>265.075</v>
      </c>
      <c r="I7" s="213">
        <f t="shared" si="2"/>
        <v>265.148</v>
      </c>
      <c r="J7" s="213">
        <f t="shared" si="2"/>
        <v>276.1327</v>
      </c>
      <c r="K7" s="213">
        <f t="shared" si="2"/>
        <v>282.27680000000004</v>
      </c>
      <c r="L7" s="213">
        <f t="shared" si="2"/>
        <v>286.5756</v>
      </c>
      <c r="M7" s="213">
        <f>SUM(M9,M12:M13,M15:M19,M23,M26:M27,M29,M33:M35)</f>
        <v>290.17120000000006</v>
      </c>
      <c r="N7" s="213">
        <f aca="true" t="shared" si="3" ref="N7:U7">SUM(N9,N12:N13,N15:N19,N23,N26:N27,N29,N33:N35)</f>
        <v>298.9577</v>
      </c>
      <c r="O7" s="213">
        <f t="shared" si="3"/>
        <v>309.3560999999999</v>
      </c>
      <c r="P7" s="213">
        <f t="shared" si="3"/>
        <v>314.06969999999995</v>
      </c>
      <c r="Q7" s="213">
        <f t="shared" si="3"/>
        <v>311.74330000000003</v>
      </c>
      <c r="R7" s="213">
        <f t="shared" si="3"/>
        <v>309.96200000000005</v>
      </c>
      <c r="S7" s="213">
        <f t="shared" si="3"/>
        <v>316.9</v>
      </c>
      <c r="T7" s="213">
        <f t="shared" si="3"/>
        <v>327.391</v>
      </c>
      <c r="U7" s="213">
        <f t="shared" si="3"/>
        <v>338.54400000000004</v>
      </c>
      <c r="V7" s="213">
        <f>SUM(V9,V12:V13,V15:V19,V23,V26:V27,V29,V33:V35)</f>
        <v>345.24700000000007</v>
      </c>
      <c r="W7" s="213">
        <f>SUM(W9,W12:W13,W15:W19,W23,W26:W27,W29,W33:W35)</f>
        <v>359.94200000000006</v>
      </c>
      <c r="X7" s="311">
        <f aca="true" t="shared" si="4" ref="X7:X41">(W7/V7-1)*100</f>
        <v>4.256372973552258</v>
      </c>
      <c r="Y7" s="126" t="s">
        <v>32</v>
      </c>
      <c r="Z7" s="81"/>
    </row>
    <row r="8" spans="1:26" ht="12.75" customHeight="1">
      <c r="A8" s="18"/>
      <c r="B8" s="127" t="s">
        <v>92</v>
      </c>
      <c r="C8" s="217">
        <f>20.5+SUM(C10,C11,C14,C20,C21,C22,C24,C25,C28,C30,C31,C32)</f>
        <v>106.24799999999999</v>
      </c>
      <c r="D8" s="217">
        <f>18+SUM(D10,D11,D14,D20,D21,D22,D24,D25,D28,D30,D31,D32)</f>
        <v>119.077</v>
      </c>
      <c r="E8" s="214">
        <f>SUM(E10,E11,E14,E20,E21,E22,E24,E25,E28,E30,E31,E32)</f>
        <v>131.79</v>
      </c>
      <c r="F8" s="202">
        <f>SUM(F10,F11,F14,F20,F21,F22,F24,F25,F28,F30,F31,F32)</f>
        <v>108.015</v>
      </c>
      <c r="G8" s="214">
        <f>SUM(G10,G11,G14,G20,G21,G22,G24,G25,G28,G30,G31,G32)</f>
        <v>95.90899999999999</v>
      </c>
      <c r="H8" s="214">
        <f>SUM(H10,H11,H14,H20,H21,H22,H24,H25,H28,H30,H31,H32)</f>
        <v>83.99900000000001</v>
      </c>
      <c r="I8" s="214">
        <f aca="true" t="shared" si="5" ref="I8:U8">SUM(I10,I11,I14,I20,I21,I22,I24,I25,I28,I30,I31,I32)</f>
        <v>77.01400000000001</v>
      </c>
      <c r="J8" s="214">
        <f t="shared" si="5"/>
        <v>74.392</v>
      </c>
      <c r="K8" s="214">
        <f t="shared" si="5"/>
        <v>66.715</v>
      </c>
      <c r="L8" s="214">
        <f t="shared" si="5"/>
        <v>63.956</v>
      </c>
      <c r="M8" s="214">
        <f t="shared" si="5"/>
        <v>60.431999999999995</v>
      </c>
      <c r="N8" s="214">
        <f t="shared" si="5"/>
        <v>59.641999999999996</v>
      </c>
      <c r="O8" s="214">
        <f t="shared" si="5"/>
        <v>61.35199999999999</v>
      </c>
      <c r="P8" s="214">
        <f t="shared" si="5"/>
        <v>58.669649</v>
      </c>
      <c r="Q8" s="214">
        <f t="shared" si="5"/>
        <v>53.82695000000001</v>
      </c>
      <c r="R8" s="214">
        <f t="shared" si="5"/>
        <v>51.924814000000005</v>
      </c>
      <c r="S8" s="214">
        <f t="shared" si="5"/>
        <v>50.916833000000004</v>
      </c>
      <c r="T8" s="214">
        <f t="shared" si="5"/>
        <v>49.57739900000001</v>
      </c>
      <c r="U8" s="214">
        <f t="shared" si="5"/>
        <v>50.334911</v>
      </c>
      <c r="V8" s="214">
        <f>SUM(V10,V11,V14,V20,V21,V22,V24,V25,V28,V30,V31,V32)</f>
        <v>50.051154</v>
      </c>
      <c r="W8" s="214">
        <f>SUM(W10,W11,W14,W20,W21,W22,W24,W25,W28,W30,W31,W32)</f>
        <v>49.25573000000001</v>
      </c>
      <c r="X8" s="312">
        <f t="shared" si="4"/>
        <v>-1.5892220986552852</v>
      </c>
      <c r="Y8" s="127" t="s">
        <v>92</v>
      </c>
      <c r="Z8" s="81"/>
    </row>
    <row r="9" spans="1:26" ht="12.75" customHeight="1">
      <c r="A9" s="18"/>
      <c r="B9" s="20" t="s">
        <v>33</v>
      </c>
      <c r="C9" s="166">
        <v>8.26</v>
      </c>
      <c r="D9" s="166">
        <v>6.963</v>
      </c>
      <c r="E9" s="168">
        <v>6.539</v>
      </c>
      <c r="F9" s="168">
        <v>6.77</v>
      </c>
      <c r="G9" s="168">
        <v>6.798</v>
      </c>
      <c r="H9" s="168">
        <v>6.694</v>
      </c>
      <c r="I9" s="168">
        <v>6.638</v>
      </c>
      <c r="J9" s="168">
        <v>6.757</v>
      </c>
      <c r="K9" s="168">
        <v>6.788</v>
      </c>
      <c r="L9" s="168">
        <v>6.98</v>
      </c>
      <c r="M9" s="168">
        <v>7.097</v>
      </c>
      <c r="N9" s="168">
        <v>7.354</v>
      </c>
      <c r="O9" s="168">
        <v>7.734</v>
      </c>
      <c r="P9" s="168">
        <v>8.038</v>
      </c>
      <c r="Q9" s="168">
        <v>8.26</v>
      </c>
      <c r="R9" s="168">
        <v>8.265</v>
      </c>
      <c r="S9" s="168">
        <v>8.676</v>
      </c>
      <c r="T9" s="168">
        <v>9.15</v>
      </c>
      <c r="U9" s="168">
        <v>9.607</v>
      </c>
      <c r="V9" s="168">
        <v>9.932</v>
      </c>
      <c r="W9" s="168">
        <v>10.403</v>
      </c>
      <c r="X9" s="294">
        <f t="shared" si="4"/>
        <v>4.742247281514289</v>
      </c>
      <c r="Y9" s="20" t="s">
        <v>33</v>
      </c>
      <c r="Z9" s="64"/>
    </row>
    <row r="10" spans="1:26" ht="12.75" customHeight="1">
      <c r="A10" s="18"/>
      <c r="B10" s="126" t="s">
        <v>15</v>
      </c>
      <c r="C10" s="177">
        <v>6.224</v>
      </c>
      <c r="D10" s="177">
        <v>7.055</v>
      </c>
      <c r="E10" s="252">
        <v>7.793</v>
      </c>
      <c r="F10" s="179">
        <v>4.866</v>
      </c>
      <c r="G10" s="179">
        <v>5.393</v>
      </c>
      <c r="H10" s="179">
        <v>5.837</v>
      </c>
      <c r="I10" s="179">
        <v>5.059</v>
      </c>
      <c r="J10" s="179">
        <v>4.693</v>
      </c>
      <c r="K10" s="179">
        <v>5.065</v>
      </c>
      <c r="L10" s="179">
        <v>5.886</v>
      </c>
      <c r="M10" s="179">
        <v>4.74</v>
      </c>
      <c r="N10" s="179">
        <v>3.819</v>
      </c>
      <c r="O10" s="179">
        <v>3.472</v>
      </c>
      <c r="P10" s="179">
        <v>2.99</v>
      </c>
      <c r="Q10" s="179">
        <v>2.598</v>
      </c>
      <c r="R10" s="179">
        <v>2.517</v>
      </c>
      <c r="S10" s="179">
        <v>2.404</v>
      </c>
      <c r="T10" s="179">
        <v>2.389</v>
      </c>
      <c r="U10" s="179">
        <v>2.422</v>
      </c>
      <c r="V10" s="179">
        <v>2.424</v>
      </c>
      <c r="W10" s="179">
        <v>2.335</v>
      </c>
      <c r="X10" s="296">
        <f t="shared" si="4"/>
        <v>-3.6716171617161675</v>
      </c>
      <c r="Y10" s="126" t="s">
        <v>15</v>
      </c>
      <c r="Z10" s="64"/>
    </row>
    <row r="11" spans="1:26" s="356" customFormat="1" ht="12.75" customHeight="1">
      <c r="A11" s="352"/>
      <c r="B11" s="20" t="s">
        <v>17</v>
      </c>
      <c r="C11" s="358"/>
      <c r="D11" s="358"/>
      <c r="E11" s="380">
        <v>13.313</v>
      </c>
      <c r="F11" s="82">
        <v>12.5</v>
      </c>
      <c r="G11" s="64">
        <v>11.147</v>
      </c>
      <c r="H11" s="64">
        <v>8.548</v>
      </c>
      <c r="I11" s="64">
        <v>8.481</v>
      </c>
      <c r="J11" s="64">
        <v>8.023</v>
      </c>
      <c r="K11" s="64">
        <v>8.111</v>
      </c>
      <c r="L11" s="64">
        <v>7.71</v>
      </c>
      <c r="M11" s="64">
        <v>7.001</v>
      </c>
      <c r="N11" s="64">
        <v>6.929</v>
      </c>
      <c r="O11" s="64">
        <v>7.3</v>
      </c>
      <c r="P11" s="64">
        <v>7.299</v>
      </c>
      <c r="Q11" s="64">
        <v>6.597</v>
      </c>
      <c r="R11" s="64">
        <v>6.518</v>
      </c>
      <c r="S11" s="64">
        <v>6.58</v>
      </c>
      <c r="T11" s="64">
        <v>6.667</v>
      </c>
      <c r="U11" s="64">
        <v>6.922</v>
      </c>
      <c r="V11" s="64">
        <v>6.898</v>
      </c>
      <c r="W11" s="64">
        <v>6.8033</v>
      </c>
      <c r="X11" s="355">
        <f t="shared" si="4"/>
        <v>-1.372861699043193</v>
      </c>
      <c r="Y11" s="20" t="s">
        <v>17</v>
      </c>
      <c r="Z11" s="64"/>
    </row>
    <row r="12" spans="1:26" ht="12.75" customHeight="1">
      <c r="A12" s="18"/>
      <c r="B12" s="126" t="s">
        <v>28</v>
      </c>
      <c r="C12" s="177">
        <v>3.898</v>
      </c>
      <c r="D12" s="177">
        <v>3.803</v>
      </c>
      <c r="E12" s="252">
        <v>5.051</v>
      </c>
      <c r="F12" s="179">
        <v>4.913</v>
      </c>
      <c r="G12" s="179">
        <v>4.974</v>
      </c>
      <c r="H12" s="179">
        <v>4.939</v>
      </c>
      <c r="I12" s="179">
        <v>5.052</v>
      </c>
      <c r="J12" s="179">
        <v>4.888</v>
      </c>
      <c r="K12" s="179">
        <v>4.821</v>
      </c>
      <c r="L12" s="179">
        <v>5.173</v>
      </c>
      <c r="M12" s="179">
        <v>5.365</v>
      </c>
      <c r="N12" s="179">
        <v>5.31</v>
      </c>
      <c r="O12" s="179">
        <v>5.537</v>
      </c>
      <c r="P12" s="179">
        <v>5.721</v>
      </c>
      <c r="Q12" s="179">
        <v>5.745</v>
      </c>
      <c r="R12" s="179">
        <v>5.826</v>
      </c>
      <c r="S12" s="179">
        <v>5.946</v>
      </c>
      <c r="T12" s="179">
        <v>5.974</v>
      </c>
      <c r="U12" s="179">
        <v>6.11</v>
      </c>
      <c r="V12" s="179">
        <v>6.176</v>
      </c>
      <c r="W12" s="179">
        <v>6.279</v>
      </c>
      <c r="X12" s="296">
        <f t="shared" si="4"/>
        <v>1.6677461139896321</v>
      </c>
      <c r="Y12" s="126" t="s">
        <v>28</v>
      </c>
      <c r="Z12" s="64"/>
    </row>
    <row r="13" spans="1:26" s="356" customFormat="1" ht="12.75" customHeight="1">
      <c r="A13" s="352"/>
      <c r="B13" s="20" t="s">
        <v>34</v>
      </c>
      <c r="C13" s="358">
        <v>62.4</v>
      </c>
      <c r="D13" s="358">
        <v>62.499</v>
      </c>
      <c r="E13" s="380">
        <v>61.024</v>
      </c>
      <c r="F13" s="64">
        <v>67.31</v>
      </c>
      <c r="G13" s="359">
        <v>67.55</v>
      </c>
      <c r="H13" s="64">
        <v>63.361</v>
      </c>
      <c r="I13" s="64">
        <v>65.2</v>
      </c>
      <c r="J13" s="64">
        <v>70.977</v>
      </c>
      <c r="K13" s="64">
        <v>71.73</v>
      </c>
      <c r="L13" s="64">
        <v>72.40299999999999</v>
      </c>
      <c r="M13" s="64">
        <v>72.666</v>
      </c>
      <c r="N13" s="64">
        <v>73.79599999999999</v>
      </c>
      <c r="O13" s="64">
        <v>75.404</v>
      </c>
      <c r="P13" s="64">
        <v>75.75399999999999</v>
      </c>
      <c r="Q13" s="64">
        <v>70.819</v>
      </c>
      <c r="R13" s="64">
        <v>71.293</v>
      </c>
      <c r="S13" s="64">
        <v>72.563</v>
      </c>
      <c r="T13" s="64">
        <v>74.946</v>
      </c>
      <c r="U13" s="64">
        <v>77.803</v>
      </c>
      <c r="V13" s="64">
        <v>79.098</v>
      </c>
      <c r="W13" s="64">
        <v>81.757</v>
      </c>
      <c r="X13" s="355">
        <f t="shared" si="4"/>
        <v>3.3616526334420582</v>
      </c>
      <c r="Y13" s="20" t="s">
        <v>34</v>
      </c>
      <c r="Z13" s="64"/>
    </row>
    <row r="14" spans="1:26" ht="12.75" customHeight="1">
      <c r="A14" s="18"/>
      <c r="B14" s="126" t="s">
        <v>18</v>
      </c>
      <c r="C14" s="177">
        <v>1.231</v>
      </c>
      <c r="D14" s="177">
        <v>1.553</v>
      </c>
      <c r="E14" s="252">
        <v>1.51</v>
      </c>
      <c r="F14" s="179">
        <v>1.273</v>
      </c>
      <c r="G14" s="179">
        <v>0.95</v>
      </c>
      <c r="H14" s="179">
        <v>0.722</v>
      </c>
      <c r="I14" s="179">
        <v>0.537</v>
      </c>
      <c r="J14" s="179">
        <v>0.421</v>
      </c>
      <c r="K14" s="179">
        <v>0.309</v>
      </c>
      <c r="L14" s="179">
        <v>0.262</v>
      </c>
      <c r="M14" s="179">
        <v>0.236</v>
      </c>
      <c r="N14" s="179">
        <v>0.238</v>
      </c>
      <c r="O14" s="179">
        <v>0.261</v>
      </c>
      <c r="P14" s="179">
        <v>0.182649</v>
      </c>
      <c r="Q14" s="179">
        <v>0.17695</v>
      </c>
      <c r="R14" s="179">
        <v>0.181814</v>
      </c>
      <c r="S14" s="179">
        <v>0.193133</v>
      </c>
      <c r="T14" s="179">
        <v>0.247899</v>
      </c>
      <c r="U14" s="179">
        <v>0.256811</v>
      </c>
      <c r="V14" s="179">
        <v>0.273554</v>
      </c>
      <c r="W14" s="179">
        <v>0.27373</v>
      </c>
      <c r="X14" s="296">
        <f t="shared" si="4"/>
        <v>0.06433830249235051</v>
      </c>
      <c r="Y14" s="126" t="s">
        <v>18</v>
      </c>
      <c r="Z14" s="64"/>
    </row>
    <row r="15" spans="1:26" ht="12.75" customHeight="1">
      <c r="A15" s="18"/>
      <c r="B15" s="20" t="s">
        <v>37</v>
      </c>
      <c r="C15" s="166">
        <v>0.582</v>
      </c>
      <c r="D15" s="166">
        <v>1.032</v>
      </c>
      <c r="E15" s="253">
        <v>1.226</v>
      </c>
      <c r="F15" s="168">
        <v>1.29</v>
      </c>
      <c r="G15" s="168">
        <v>1.226</v>
      </c>
      <c r="H15" s="168">
        <v>1.274</v>
      </c>
      <c r="I15" s="168">
        <v>1.26</v>
      </c>
      <c r="J15" s="168">
        <v>1.291</v>
      </c>
      <c r="K15" s="168">
        <v>1.295</v>
      </c>
      <c r="L15" s="168">
        <v>1.387</v>
      </c>
      <c r="M15" s="168">
        <v>1.421</v>
      </c>
      <c r="N15" s="168">
        <v>1.458</v>
      </c>
      <c r="O15" s="168">
        <v>1.389</v>
      </c>
      <c r="P15" s="168">
        <v>1.515</v>
      </c>
      <c r="Q15" s="168">
        <v>1.628</v>
      </c>
      <c r="R15" s="168">
        <v>1.601</v>
      </c>
      <c r="S15" s="168">
        <v>1.582</v>
      </c>
      <c r="T15" s="168">
        <v>1.781</v>
      </c>
      <c r="U15" s="168">
        <v>1.872</v>
      </c>
      <c r="V15" s="168">
        <v>2.007</v>
      </c>
      <c r="W15" s="168">
        <v>1.976</v>
      </c>
      <c r="X15" s="294">
        <f t="shared" si="4"/>
        <v>-1.5445939212755389</v>
      </c>
      <c r="Y15" s="20" t="s">
        <v>37</v>
      </c>
      <c r="Z15" s="64"/>
    </row>
    <row r="16" spans="1:26" ht="12.75" customHeight="1">
      <c r="A16" s="18"/>
      <c r="B16" s="126" t="s">
        <v>29</v>
      </c>
      <c r="C16" s="177">
        <v>1.951</v>
      </c>
      <c r="D16" s="177">
        <v>1.464</v>
      </c>
      <c r="E16" s="252">
        <v>1.977</v>
      </c>
      <c r="F16" s="179">
        <v>1.995</v>
      </c>
      <c r="G16" s="179">
        <v>2.046</v>
      </c>
      <c r="H16" s="179">
        <v>1.726</v>
      </c>
      <c r="I16" s="179">
        <v>1.599</v>
      </c>
      <c r="J16" s="179">
        <v>1.568</v>
      </c>
      <c r="K16" s="179">
        <v>1.751</v>
      </c>
      <c r="L16" s="179">
        <v>1.884</v>
      </c>
      <c r="M16" s="179">
        <v>1.552</v>
      </c>
      <c r="N16" s="179">
        <v>1.583</v>
      </c>
      <c r="O16" s="179">
        <v>1.886</v>
      </c>
      <c r="P16" s="179">
        <v>1.747</v>
      </c>
      <c r="Q16" s="179">
        <v>1.836</v>
      </c>
      <c r="R16" s="179">
        <v>1.574</v>
      </c>
      <c r="S16" s="179">
        <v>1.668</v>
      </c>
      <c r="T16" s="179">
        <v>1.854</v>
      </c>
      <c r="U16" s="179">
        <v>1.811</v>
      </c>
      <c r="V16" s="179">
        <v>1.933</v>
      </c>
      <c r="W16" s="179">
        <v>1.657</v>
      </c>
      <c r="X16" s="296">
        <f t="shared" si="4"/>
        <v>-14.278323848939479</v>
      </c>
      <c r="Y16" s="126" t="s">
        <v>29</v>
      </c>
      <c r="Z16" s="64"/>
    </row>
    <row r="17" spans="1:26" ht="12.75" customHeight="1">
      <c r="A17" s="18"/>
      <c r="B17" s="20" t="s">
        <v>35</v>
      </c>
      <c r="C17" s="166">
        <v>14.013</v>
      </c>
      <c r="D17" s="166">
        <v>13.527</v>
      </c>
      <c r="E17" s="253">
        <v>15.476</v>
      </c>
      <c r="F17" s="168">
        <v>15.022</v>
      </c>
      <c r="G17" s="168">
        <v>16.302</v>
      </c>
      <c r="H17" s="168">
        <v>15.234</v>
      </c>
      <c r="I17" s="168">
        <v>14.853</v>
      </c>
      <c r="J17" s="168">
        <v>16.577</v>
      </c>
      <c r="K17" s="165">
        <v>16.85</v>
      </c>
      <c r="L17" s="165">
        <v>17.83</v>
      </c>
      <c r="M17" s="165">
        <v>18.73</v>
      </c>
      <c r="N17" s="168">
        <v>19.655</v>
      </c>
      <c r="O17" s="168">
        <v>20.144</v>
      </c>
      <c r="P17" s="168">
        <v>20.829</v>
      </c>
      <c r="Q17" s="168">
        <v>21.211</v>
      </c>
      <c r="R17" s="168">
        <v>21.127</v>
      </c>
      <c r="S17" s="168">
        <v>20.386</v>
      </c>
      <c r="T17" s="168">
        <v>21.624</v>
      </c>
      <c r="U17" s="168">
        <v>22.105</v>
      </c>
      <c r="V17" s="168">
        <v>21.857</v>
      </c>
      <c r="W17" s="168">
        <v>23.969</v>
      </c>
      <c r="X17" s="294">
        <f t="shared" si="4"/>
        <v>9.662808253648736</v>
      </c>
      <c r="Y17" s="20" t="s">
        <v>35</v>
      </c>
      <c r="Z17" s="64"/>
    </row>
    <row r="18" spans="1:26" ht="12.75" customHeight="1">
      <c r="A18" s="18"/>
      <c r="B18" s="126" t="s">
        <v>36</v>
      </c>
      <c r="C18" s="177">
        <v>40.979</v>
      </c>
      <c r="D18" s="177">
        <v>54.496</v>
      </c>
      <c r="E18" s="252">
        <v>63.74</v>
      </c>
      <c r="F18" s="179">
        <v>62.37</v>
      </c>
      <c r="G18" s="179">
        <v>62.99</v>
      </c>
      <c r="H18" s="179">
        <v>58.43</v>
      </c>
      <c r="I18" s="179">
        <v>58.94</v>
      </c>
      <c r="J18" s="179">
        <v>55.56</v>
      </c>
      <c r="K18" s="179">
        <v>59.79</v>
      </c>
      <c r="L18" s="179">
        <v>61.78</v>
      </c>
      <c r="M18" s="179">
        <v>64.5</v>
      </c>
      <c r="N18" s="179">
        <v>66.21600000000001</v>
      </c>
      <c r="O18" s="179">
        <v>69.866</v>
      </c>
      <c r="P18" s="179">
        <v>71.504</v>
      </c>
      <c r="Q18" s="179">
        <v>73.534</v>
      </c>
      <c r="R18" s="179">
        <v>71.707</v>
      </c>
      <c r="S18" s="179">
        <v>74.309</v>
      </c>
      <c r="T18" s="179">
        <v>76.473</v>
      </c>
      <c r="U18" s="179">
        <v>78.792</v>
      </c>
      <c r="V18" s="179">
        <v>80.309</v>
      </c>
      <c r="W18" s="179">
        <v>84.967</v>
      </c>
      <c r="X18" s="296">
        <f t="shared" si="4"/>
        <v>5.800097124855252</v>
      </c>
      <c r="Y18" s="126" t="s">
        <v>36</v>
      </c>
      <c r="Z18" s="64"/>
    </row>
    <row r="19" spans="1:26" s="356" customFormat="1" ht="12.75" customHeight="1">
      <c r="A19" s="352"/>
      <c r="B19" s="20" t="s">
        <v>38</v>
      </c>
      <c r="C19" s="358">
        <v>32.457</v>
      </c>
      <c r="D19" s="358">
        <v>39.587</v>
      </c>
      <c r="E19" s="380">
        <v>44.709</v>
      </c>
      <c r="F19" s="64">
        <v>45.065</v>
      </c>
      <c r="G19" s="64">
        <v>44.409</v>
      </c>
      <c r="H19" s="64">
        <v>42.72</v>
      </c>
      <c r="I19" s="359">
        <v>43.375</v>
      </c>
      <c r="J19" s="64">
        <v>46.651</v>
      </c>
      <c r="K19" s="64">
        <v>47.58</v>
      </c>
      <c r="L19" s="64">
        <v>46.391</v>
      </c>
      <c r="M19" s="64">
        <v>44.190999999999995</v>
      </c>
      <c r="N19" s="64">
        <v>46.302</v>
      </c>
      <c r="O19" s="64">
        <v>49.572</v>
      </c>
      <c r="P19" s="64">
        <v>50.076</v>
      </c>
      <c r="Q19" s="64">
        <v>49.304</v>
      </c>
      <c r="R19" s="64">
        <v>48.697</v>
      </c>
      <c r="S19" s="64">
        <v>49.25299999999999</v>
      </c>
      <c r="T19" s="64">
        <v>50.47</v>
      </c>
      <c r="U19" s="64">
        <v>50.891000000000005</v>
      </c>
      <c r="V19" s="64">
        <v>49.679</v>
      </c>
      <c r="W19" s="64">
        <v>49.795</v>
      </c>
      <c r="X19" s="355">
        <f t="shared" si="4"/>
        <v>0.23349906399081632</v>
      </c>
      <c r="Y19" s="20" t="s">
        <v>38</v>
      </c>
      <c r="Z19" s="64"/>
    </row>
    <row r="20" spans="1:26" ht="12.75" customHeight="1">
      <c r="A20" s="18"/>
      <c r="B20" s="126" t="s">
        <v>16</v>
      </c>
      <c r="C20" s="210" t="s">
        <v>47</v>
      </c>
      <c r="D20" s="210" t="s">
        <v>47</v>
      </c>
      <c r="E20" s="254" t="s">
        <v>47</v>
      </c>
      <c r="F20" s="211" t="s">
        <v>47</v>
      </c>
      <c r="G20" s="211" t="s">
        <v>47</v>
      </c>
      <c r="H20" s="211" t="s">
        <v>47</v>
      </c>
      <c r="I20" s="211" t="s">
        <v>47</v>
      </c>
      <c r="J20" s="211" t="s">
        <v>47</v>
      </c>
      <c r="K20" s="211" t="s">
        <v>47</v>
      </c>
      <c r="L20" s="211" t="s">
        <v>47</v>
      </c>
      <c r="M20" s="211" t="s">
        <v>47</v>
      </c>
      <c r="N20" s="211" t="s">
        <v>47</v>
      </c>
      <c r="O20" s="211" t="s">
        <v>47</v>
      </c>
      <c r="P20" s="211" t="s">
        <v>47</v>
      </c>
      <c r="Q20" s="211" t="s">
        <v>47</v>
      </c>
      <c r="R20" s="211" t="s">
        <v>47</v>
      </c>
      <c r="S20" s="211" t="s">
        <v>47</v>
      </c>
      <c r="T20" s="211" t="s">
        <v>47</v>
      </c>
      <c r="U20" s="211" t="s">
        <v>47</v>
      </c>
      <c r="V20" s="211" t="s">
        <v>47</v>
      </c>
      <c r="W20" s="211" t="s">
        <v>47</v>
      </c>
      <c r="X20" s="307"/>
      <c r="Y20" s="126" t="s">
        <v>16</v>
      </c>
      <c r="Z20" s="26"/>
    </row>
    <row r="21" spans="1:26" s="356" customFormat="1" ht="12.75" customHeight="1">
      <c r="A21" s="352"/>
      <c r="B21" s="20" t="s">
        <v>20</v>
      </c>
      <c r="C21" s="358">
        <v>3.747</v>
      </c>
      <c r="D21" s="358">
        <v>4.687</v>
      </c>
      <c r="E21" s="380">
        <v>5.366</v>
      </c>
      <c r="F21" s="64">
        <v>3.93</v>
      </c>
      <c r="G21" s="64">
        <v>3.656</v>
      </c>
      <c r="H21" s="64">
        <v>2.359</v>
      </c>
      <c r="I21" s="64">
        <v>1.794</v>
      </c>
      <c r="J21" s="64">
        <v>1.373</v>
      </c>
      <c r="K21" s="64">
        <v>1.149</v>
      </c>
      <c r="L21" s="64">
        <v>1.154</v>
      </c>
      <c r="M21" s="64">
        <v>1.059</v>
      </c>
      <c r="N21" s="64">
        <v>0.984</v>
      </c>
      <c r="O21" s="64">
        <v>0.715</v>
      </c>
      <c r="P21" s="64">
        <v>0.706</v>
      </c>
      <c r="Q21" s="64">
        <v>0.744</v>
      </c>
      <c r="R21" s="64">
        <v>0.762</v>
      </c>
      <c r="S21" s="64">
        <v>0.811</v>
      </c>
      <c r="T21" s="64">
        <v>0.894</v>
      </c>
      <c r="U21" s="64">
        <v>0.992</v>
      </c>
      <c r="V21" s="64">
        <v>0.983</v>
      </c>
      <c r="W21" s="64">
        <v>0.951</v>
      </c>
      <c r="X21" s="355">
        <f t="shared" si="4"/>
        <v>-3.2553407934893253</v>
      </c>
      <c r="Y21" s="20" t="s">
        <v>20</v>
      </c>
      <c r="Z21" s="64"/>
    </row>
    <row r="22" spans="1:26" ht="12.75" customHeight="1">
      <c r="A22" s="18"/>
      <c r="B22" s="126" t="s">
        <v>21</v>
      </c>
      <c r="C22" s="177">
        <v>2.132</v>
      </c>
      <c r="D22" s="177">
        <v>3.258</v>
      </c>
      <c r="E22" s="252">
        <v>3.64</v>
      </c>
      <c r="F22" s="179">
        <v>3.225</v>
      </c>
      <c r="G22" s="179">
        <v>2.74</v>
      </c>
      <c r="H22" s="179">
        <v>2.7</v>
      </c>
      <c r="I22" s="179">
        <v>1.574</v>
      </c>
      <c r="J22" s="179">
        <v>1.13</v>
      </c>
      <c r="K22" s="179">
        <v>0.954</v>
      </c>
      <c r="L22" s="179">
        <v>0.842</v>
      </c>
      <c r="M22" s="179">
        <v>0.8</v>
      </c>
      <c r="N22" s="179">
        <v>0.745</v>
      </c>
      <c r="O22" s="179">
        <v>0.611</v>
      </c>
      <c r="P22" s="179">
        <v>0.533</v>
      </c>
      <c r="Q22" s="179">
        <v>0.498</v>
      </c>
      <c r="R22" s="179">
        <v>0.432</v>
      </c>
      <c r="S22" s="179">
        <v>0.444</v>
      </c>
      <c r="T22" s="179">
        <v>0.428</v>
      </c>
      <c r="U22" s="179">
        <v>0.431</v>
      </c>
      <c r="V22" s="179">
        <v>0.409</v>
      </c>
      <c r="W22" s="179">
        <v>0.398</v>
      </c>
      <c r="X22" s="296">
        <f t="shared" si="4"/>
        <v>-2.689486552567222</v>
      </c>
      <c r="Y22" s="126" t="s">
        <v>21</v>
      </c>
      <c r="Z22" s="64"/>
    </row>
    <row r="23" spans="1:26" s="356" customFormat="1" ht="12.75" customHeight="1">
      <c r="A23" s="352"/>
      <c r="B23" s="20" t="s">
        <v>39</v>
      </c>
      <c r="C23" s="358">
        <v>0.256</v>
      </c>
      <c r="D23" s="358">
        <v>0.246</v>
      </c>
      <c r="E23" s="380">
        <v>0.208</v>
      </c>
      <c r="F23" s="64">
        <v>0.22</v>
      </c>
      <c r="G23" s="64">
        <v>0.255</v>
      </c>
      <c r="H23" s="64">
        <v>0.262</v>
      </c>
      <c r="I23" s="64">
        <v>0.289</v>
      </c>
      <c r="J23" s="64">
        <v>0.287</v>
      </c>
      <c r="K23" s="64">
        <v>0.284</v>
      </c>
      <c r="L23" s="64">
        <v>0.295</v>
      </c>
      <c r="M23" s="64">
        <v>0.3</v>
      </c>
      <c r="N23" s="64">
        <v>0.31</v>
      </c>
      <c r="O23" s="64">
        <v>0.332</v>
      </c>
      <c r="P23" s="64">
        <v>0.346</v>
      </c>
      <c r="Q23" s="64">
        <v>0.268</v>
      </c>
      <c r="R23" s="64">
        <v>0.262</v>
      </c>
      <c r="S23" s="64">
        <v>0.253</v>
      </c>
      <c r="T23" s="64">
        <v>0.267</v>
      </c>
      <c r="U23" s="64">
        <v>0.298</v>
      </c>
      <c r="V23" s="64">
        <v>0.316</v>
      </c>
      <c r="W23" s="64">
        <v>0.345</v>
      </c>
      <c r="X23" s="355">
        <f t="shared" si="4"/>
        <v>9.177215189873401</v>
      </c>
      <c r="Y23" s="20" t="s">
        <v>39</v>
      </c>
      <c r="Z23" s="64"/>
    </row>
    <row r="24" spans="1:26" ht="12.75" customHeight="1">
      <c r="A24" s="18"/>
      <c r="B24" s="126" t="s">
        <v>19</v>
      </c>
      <c r="C24" s="177">
        <v>16.35</v>
      </c>
      <c r="D24" s="177">
        <v>13.544</v>
      </c>
      <c r="E24" s="252">
        <v>11.403</v>
      </c>
      <c r="F24" s="179">
        <v>9.861</v>
      </c>
      <c r="G24" s="179">
        <v>9.183</v>
      </c>
      <c r="H24" s="179">
        <v>8.432</v>
      </c>
      <c r="I24" s="179">
        <v>8.508</v>
      </c>
      <c r="J24" s="179">
        <v>8.441</v>
      </c>
      <c r="K24" s="179">
        <v>8.582</v>
      </c>
      <c r="L24" s="179">
        <v>8.669</v>
      </c>
      <c r="M24" s="179">
        <v>8.884</v>
      </c>
      <c r="N24" s="179">
        <v>9.514</v>
      </c>
      <c r="O24" s="179">
        <v>9.693</v>
      </c>
      <c r="P24" s="179">
        <v>10.005</v>
      </c>
      <c r="Q24" s="179">
        <v>10.531</v>
      </c>
      <c r="R24" s="179">
        <v>10.286</v>
      </c>
      <c r="S24" s="179">
        <v>10.165</v>
      </c>
      <c r="T24" s="179">
        <v>9.851</v>
      </c>
      <c r="U24" s="179">
        <v>9.658</v>
      </c>
      <c r="V24" s="179">
        <v>8.752</v>
      </c>
      <c r="W24" s="179">
        <v>8.293</v>
      </c>
      <c r="X24" s="296">
        <f t="shared" si="4"/>
        <v>-5.244515539305317</v>
      </c>
      <c r="Y24" s="126" t="s">
        <v>19</v>
      </c>
      <c r="Z24" s="64"/>
    </row>
    <row r="25" spans="1:26" s="356" customFormat="1" ht="12.75" customHeight="1">
      <c r="A25" s="352"/>
      <c r="B25" s="20" t="s">
        <v>22</v>
      </c>
      <c r="C25" s="375" t="s">
        <v>47</v>
      </c>
      <c r="D25" s="375" t="s">
        <v>47</v>
      </c>
      <c r="E25" s="381" t="s">
        <v>47</v>
      </c>
      <c r="F25" s="26" t="s">
        <v>47</v>
      </c>
      <c r="G25" s="26" t="s">
        <v>47</v>
      </c>
      <c r="H25" s="26" t="s">
        <v>47</v>
      </c>
      <c r="I25" s="26" t="s">
        <v>47</v>
      </c>
      <c r="J25" s="26" t="s">
        <v>47</v>
      </c>
      <c r="K25" s="26" t="s">
        <v>47</v>
      </c>
      <c r="L25" s="26" t="s">
        <v>47</v>
      </c>
      <c r="M25" s="26" t="s">
        <v>47</v>
      </c>
      <c r="N25" s="26" t="s">
        <v>47</v>
      </c>
      <c r="O25" s="26" t="s">
        <v>47</v>
      </c>
      <c r="P25" s="26" t="s">
        <v>47</v>
      </c>
      <c r="Q25" s="26" t="s">
        <v>47</v>
      </c>
      <c r="R25" s="26" t="s">
        <v>47</v>
      </c>
      <c r="S25" s="26" t="s">
        <v>47</v>
      </c>
      <c r="T25" s="26" t="s">
        <v>47</v>
      </c>
      <c r="U25" s="26" t="s">
        <v>47</v>
      </c>
      <c r="V25" s="26" t="s">
        <v>47</v>
      </c>
      <c r="W25" s="26" t="s">
        <v>47</v>
      </c>
      <c r="X25" s="331"/>
      <c r="Y25" s="20" t="s">
        <v>22</v>
      </c>
      <c r="Z25" s="26"/>
    </row>
    <row r="26" spans="1:26" ht="12.75" customHeight="1">
      <c r="A26" s="18"/>
      <c r="B26" s="92" t="s">
        <v>30</v>
      </c>
      <c r="C26" s="177">
        <v>8.011</v>
      </c>
      <c r="D26" s="177">
        <v>8.91</v>
      </c>
      <c r="E26" s="252">
        <v>11.06</v>
      </c>
      <c r="F26" s="179">
        <v>15.195</v>
      </c>
      <c r="G26" s="179">
        <v>15.35</v>
      </c>
      <c r="H26" s="179">
        <v>15.245</v>
      </c>
      <c r="I26" s="179">
        <v>14.439</v>
      </c>
      <c r="J26" s="179">
        <v>16.35</v>
      </c>
      <c r="K26" s="179">
        <v>14.092</v>
      </c>
      <c r="L26" s="179">
        <v>13.875</v>
      </c>
      <c r="M26" s="179">
        <v>14.107</v>
      </c>
      <c r="N26" s="179">
        <v>14.281</v>
      </c>
      <c r="O26" s="179">
        <v>14.666</v>
      </c>
      <c r="P26" s="179">
        <v>14.392</v>
      </c>
      <c r="Q26" s="179">
        <v>14.288</v>
      </c>
      <c r="R26" s="179">
        <v>13.848</v>
      </c>
      <c r="S26" s="179">
        <v>14.509</v>
      </c>
      <c r="T26" s="179">
        <v>15.153</v>
      </c>
      <c r="U26" s="179">
        <v>15.889</v>
      </c>
      <c r="V26" s="179">
        <v>16.325</v>
      </c>
      <c r="W26" s="179">
        <v>16</v>
      </c>
      <c r="X26" s="296">
        <f t="shared" si="4"/>
        <v>-1.9908116385911168</v>
      </c>
      <c r="Y26" s="92" t="s">
        <v>30</v>
      </c>
      <c r="Z26" s="64"/>
    </row>
    <row r="27" spans="1:26" s="356" customFormat="1" ht="12.75" customHeight="1">
      <c r="A27" s="352"/>
      <c r="B27" s="20" t="s">
        <v>40</v>
      </c>
      <c r="C27" s="358">
        <v>6.438</v>
      </c>
      <c r="D27" s="358">
        <v>7.586</v>
      </c>
      <c r="E27" s="380">
        <v>8.912</v>
      </c>
      <c r="F27" s="64">
        <v>9.59</v>
      </c>
      <c r="G27" s="64">
        <v>9.957</v>
      </c>
      <c r="H27" s="64">
        <v>9.764</v>
      </c>
      <c r="I27" s="64">
        <v>9.949</v>
      </c>
      <c r="J27" s="64">
        <v>10.124</v>
      </c>
      <c r="K27" s="64">
        <v>10.222</v>
      </c>
      <c r="L27" s="64">
        <v>8.709</v>
      </c>
      <c r="M27" s="64">
        <v>8.537</v>
      </c>
      <c r="N27" s="64">
        <v>8.554</v>
      </c>
      <c r="O27" s="64">
        <v>8.74</v>
      </c>
      <c r="P27" s="64">
        <v>8.761</v>
      </c>
      <c r="Q27" s="64">
        <v>8.81</v>
      </c>
      <c r="R27" s="64">
        <v>8.673</v>
      </c>
      <c r="S27" s="64">
        <v>8.704</v>
      </c>
      <c r="T27" s="64">
        <v>9.061</v>
      </c>
      <c r="U27" s="64">
        <v>9.296</v>
      </c>
      <c r="V27" s="64">
        <v>9.418</v>
      </c>
      <c r="W27" s="64">
        <v>10.837</v>
      </c>
      <c r="X27" s="355">
        <f t="shared" si="4"/>
        <v>15.066893183266084</v>
      </c>
      <c r="Y27" s="20" t="s">
        <v>40</v>
      </c>
      <c r="Z27" s="82"/>
    </row>
    <row r="28" spans="1:26" ht="12.75" customHeight="1">
      <c r="A28" s="18"/>
      <c r="B28" s="126" t="s">
        <v>23</v>
      </c>
      <c r="C28" s="177">
        <v>36.891</v>
      </c>
      <c r="D28" s="177">
        <v>46.324</v>
      </c>
      <c r="E28" s="252">
        <v>50.373</v>
      </c>
      <c r="F28" s="179">
        <v>40.115</v>
      </c>
      <c r="G28" s="179">
        <v>32.571</v>
      </c>
      <c r="H28" s="179">
        <v>30.864</v>
      </c>
      <c r="I28" s="179">
        <v>27.61</v>
      </c>
      <c r="J28" s="179">
        <v>26.635</v>
      </c>
      <c r="K28" s="179">
        <v>19.807</v>
      </c>
      <c r="L28" s="179">
        <v>19.928</v>
      </c>
      <c r="M28" s="179">
        <v>20.553</v>
      </c>
      <c r="N28" s="179">
        <v>21.518</v>
      </c>
      <c r="O28" s="179">
        <v>24.093</v>
      </c>
      <c r="P28" s="179">
        <v>22.469</v>
      </c>
      <c r="Q28" s="179">
        <v>20.749</v>
      </c>
      <c r="R28" s="179">
        <v>19.638</v>
      </c>
      <c r="S28" s="179">
        <v>18.6897</v>
      </c>
      <c r="T28" s="179">
        <v>18.1565</v>
      </c>
      <c r="U28" s="179">
        <v>18.5521</v>
      </c>
      <c r="V28" s="179">
        <v>19.8586</v>
      </c>
      <c r="W28" s="179">
        <v>20.1947</v>
      </c>
      <c r="X28" s="296">
        <f t="shared" si="4"/>
        <v>1.6924657327304082</v>
      </c>
      <c r="Y28" s="126" t="s">
        <v>23</v>
      </c>
      <c r="Z28" s="64"/>
    </row>
    <row r="29" spans="1:26" s="356" customFormat="1" ht="12.75" customHeight="1">
      <c r="A29" s="352"/>
      <c r="B29" s="20" t="s">
        <v>41</v>
      </c>
      <c r="C29" s="358">
        <v>3.546</v>
      </c>
      <c r="D29" s="358">
        <v>6.076</v>
      </c>
      <c r="E29" s="380">
        <v>5.664</v>
      </c>
      <c r="F29" s="64">
        <v>5.692</v>
      </c>
      <c r="G29" s="64">
        <v>5.694</v>
      </c>
      <c r="H29" s="64">
        <v>5.397</v>
      </c>
      <c r="I29" s="64">
        <v>5.11</v>
      </c>
      <c r="J29" s="64">
        <v>4.809</v>
      </c>
      <c r="K29" s="64">
        <v>4.502</v>
      </c>
      <c r="L29" s="64">
        <v>4.568</v>
      </c>
      <c r="M29" s="64">
        <v>4.601</v>
      </c>
      <c r="N29" s="64">
        <v>4.329</v>
      </c>
      <c r="O29" s="82">
        <v>4.032</v>
      </c>
      <c r="P29" s="82">
        <v>3.992</v>
      </c>
      <c r="Q29" s="64">
        <v>3.925</v>
      </c>
      <c r="R29" s="64">
        <v>3.753</v>
      </c>
      <c r="S29" s="64">
        <v>3.693</v>
      </c>
      <c r="T29" s="64">
        <v>3.809</v>
      </c>
      <c r="U29" s="64">
        <v>3.876</v>
      </c>
      <c r="V29" s="64">
        <v>3.987</v>
      </c>
      <c r="W29" s="64">
        <v>4.213</v>
      </c>
      <c r="X29" s="355">
        <f t="shared" si="4"/>
        <v>5.6684223727113014</v>
      </c>
      <c r="Y29" s="20" t="s">
        <v>41</v>
      </c>
      <c r="Z29" s="64"/>
    </row>
    <row r="30" spans="1:26" ht="12.75" customHeight="1">
      <c r="A30" s="18"/>
      <c r="B30" s="126" t="s">
        <v>24</v>
      </c>
      <c r="C30" s="177">
        <v>17.793</v>
      </c>
      <c r="D30" s="177">
        <v>23.22</v>
      </c>
      <c r="E30" s="252">
        <v>30.582</v>
      </c>
      <c r="F30" s="179">
        <v>25.429</v>
      </c>
      <c r="G30" s="179">
        <v>24.269</v>
      </c>
      <c r="H30" s="179">
        <v>19.402</v>
      </c>
      <c r="I30" s="179">
        <v>18.313</v>
      </c>
      <c r="J30" s="179">
        <v>18.879</v>
      </c>
      <c r="K30" s="179">
        <v>18.356</v>
      </c>
      <c r="L30" s="179">
        <v>15.794</v>
      </c>
      <c r="M30" s="179">
        <v>13.422</v>
      </c>
      <c r="N30" s="179">
        <v>12.304</v>
      </c>
      <c r="O30" s="179">
        <v>11.632</v>
      </c>
      <c r="P30" s="179">
        <v>10.965</v>
      </c>
      <c r="Q30" s="179">
        <v>8.502</v>
      </c>
      <c r="R30" s="179">
        <v>8.497</v>
      </c>
      <c r="S30" s="179">
        <v>8.638</v>
      </c>
      <c r="T30" s="179">
        <v>7.985</v>
      </c>
      <c r="U30" s="179">
        <v>8.092</v>
      </c>
      <c r="V30" s="179">
        <v>7.476</v>
      </c>
      <c r="W30" s="179">
        <v>6.877</v>
      </c>
      <c r="X30" s="296">
        <f t="shared" si="4"/>
        <v>-8.012306046013917</v>
      </c>
      <c r="Y30" s="126" t="s">
        <v>24</v>
      </c>
      <c r="Z30" s="64"/>
    </row>
    <row r="31" spans="1:26" ht="12.75" customHeight="1">
      <c r="A31" s="18"/>
      <c r="B31" s="20" t="s">
        <v>26</v>
      </c>
      <c r="C31" s="166">
        <v>1.38</v>
      </c>
      <c r="D31" s="166">
        <v>1.436</v>
      </c>
      <c r="E31" s="253">
        <v>1.429</v>
      </c>
      <c r="F31" s="168">
        <v>0.814</v>
      </c>
      <c r="G31" s="168">
        <v>0.547</v>
      </c>
      <c r="H31" s="168">
        <v>0.566</v>
      </c>
      <c r="I31" s="168">
        <v>0.59</v>
      </c>
      <c r="J31" s="168">
        <v>0.595</v>
      </c>
      <c r="K31" s="168">
        <v>0.613</v>
      </c>
      <c r="L31" s="168">
        <v>0.616</v>
      </c>
      <c r="M31" s="168">
        <v>0.645</v>
      </c>
      <c r="N31" s="168">
        <v>0.623</v>
      </c>
      <c r="O31" s="168">
        <v>0.705</v>
      </c>
      <c r="P31" s="168">
        <v>0.715</v>
      </c>
      <c r="Q31" s="168">
        <v>0.749</v>
      </c>
      <c r="R31" s="168">
        <v>0.777</v>
      </c>
      <c r="S31" s="168">
        <v>0.764</v>
      </c>
      <c r="T31" s="168">
        <v>0.777</v>
      </c>
      <c r="U31" s="168">
        <v>0.796</v>
      </c>
      <c r="V31" s="168">
        <v>0.812</v>
      </c>
      <c r="W31" s="168">
        <v>0.834</v>
      </c>
      <c r="X31" s="294">
        <f t="shared" si="4"/>
        <v>2.709359605911321</v>
      </c>
      <c r="Y31" s="20" t="s">
        <v>26</v>
      </c>
      <c r="Z31" s="64"/>
    </row>
    <row r="32" spans="1:26" ht="12.75" customHeight="1">
      <c r="A32" s="18"/>
      <c r="B32" s="126" t="s">
        <v>25</v>
      </c>
      <c r="C32" s="177"/>
      <c r="D32" s="177"/>
      <c r="E32" s="252">
        <v>6.381</v>
      </c>
      <c r="F32" s="179">
        <v>6.002</v>
      </c>
      <c r="G32" s="179">
        <v>5.453</v>
      </c>
      <c r="H32" s="179">
        <v>4.569</v>
      </c>
      <c r="I32" s="179">
        <v>4.548</v>
      </c>
      <c r="J32" s="179">
        <v>4.202</v>
      </c>
      <c r="K32" s="179">
        <v>3.769</v>
      </c>
      <c r="L32" s="179">
        <v>3.095</v>
      </c>
      <c r="M32" s="179">
        <v>3.092</v>
      </c>
      <c r="N32" s="179">
        <v>2.968</v>
      </c>
      <c r="O32" s="179">
        <v>2.87</v>
      </c>
      <c r="P32" s="179">
        <v>2.805</v>
      </c>
      <c r="Q32" s="179">
        <v>2.682</v>
      </c>
      <c r="R32" s="179">
        <v>2.316</v>
      </c>
      <c r="S32" s="179">
        <v>2.228</v>
      </c>
      <c r="T32" s="179">
        <v>2.182</v>
      </c>
      <c r="U32" s="179">
        <v>2.213</v>
      </c>
      <c r="V32" s="179">
        <v>2.165</v>
      </c>
      <c r="W32" s="179">
        <v>2.296</v>
      </c>
      <c r="X32" s="296">
        <f t="shared" si="4"/>
        <v>6.050808314087752</v>
      </c>
      <c r="Y32" s="126" t="s">
        <v>25</v>
      </c>
      <c r="Z32" s="64"/>
    </row>
    <row r="33" spans="1:26" ht="12.75" customHeight="1">
      <c r="A33" s="18"/>
      <c r="B33" s="20" t="s">
        <v>42</v>
      </c>
      <c r="C33" s="166">
        <v>2.156</v>
      </c>
      <c r="D33" s="166">
        <v>3.216</v>
      </c>
      <c r="E33" s="253">
        <v>3.331</v>
      </c>
      <c r="F33" s="168">
        <v>3.23</v>
      </c>
      <c r="G33" s="168">
        <v>3.057</v>
      </c>
      <c r="H33" s="168">
        <v>3.007</v>
      </c>
      <c r="I33" s="168">
        <v>3.037</v>
      </c>
      <c r="J33" s="168">
        <v>3.184</v>
      </c>
      <c r="K33" s="168">
        <v>3.254</v>
      </c>
      <c r="L33" s="168">
        <v>3.376</v>
      </c>
      <c r="M33" s="168">
        <v>3.377</v>
      </c>
      <c r="N33" s="168">
        <v>3.415</v>
      </c>
      <c r="O33" s="168">
        <v>3.405</v>
      </c>
      <c r="P33" s="168">
        <v>3.282</v>
      </c>
      <c r="Q33" s="168">
        <v>3.318</v>
      </c>
      <c r="R33" s="168">
        <v>3.338</v>
      </c>
      <c r="S33" s="168">
        <v>3.352</v>
      </c>
      <c r="T33" s="168">
        <v>3.478</v>
      </c>
      <c r="U33" s="168">
        <v>3.54</v>
      </c>
      <c r="V33" s="168">
        <v>3.778</v>
      </c>
      <c r="W33" s="168">
        <v>4.052</v>
      </c>
      <c r="X33" s="294">
        <f t="shared" si="4"/>
        <v>7.25251455796716</v>
      </c>
      <c r="Y33" s="20" t="s">
        <v>42</v>
      </c>
      <c r="Z33" s="64"/>
    </row>
    <row r="34" spans="1:26" ht="12.75" customHeight="1">
      <c r="A34" s="18"/>
      <c r="B34" s="126" t="s">
        <v>43</v>
      </c>
      <c r="C34" s="177">
        <v>4.64</v>
      </c>
      <c r="D34" s="177">
        <v>6.998</v>
      </c>
      <c r="E34" s="252">
        <v>6.6</v>
      </c>
      <c r="F34" s="179">
        <v>5.985</v>
      </c>
      <c r="G34" s="179">
        <v>5.963</v>
      </c>
      <c r="H34" s="179">
        <v>6.422</v>
      </c>
      <c r="I34" s="179">
        <v>6.507</v>
      </c>
      <c r="J34" s="179">
        <v>6.839</v>
      </c>
      <c r="K34" s="179">
        <v>6.97</v>
      </c>
      <c r="L34" s="179">
        <v>7.039</v>
      </c>
      <c r="M34" s="179">
        <v>7.23</v>
      </c>
      <c r="N34" s="179">
        <v>7.701</v>
      </c>
      <c r="O34" s="179">
        <v>8.243</v>
      </c>
      <c r="P34" s="179">
        <v>8.732</v>
      </c>
      <c r="Q34" s="179">
        <v>8.874</v>
      </c>
      <c r="R34" s="179">
        <v>8.834</v>
      </c>
      <c r="S34" s="179">
        <v>8.658</v>
      </c>
      <c r="T34" s="179">
        <v>8.936</v>
      </c>
      <c r="U34" s="179">
        <v>9.617</v>
      </c>
      <c r="V34" s="179">
        <v>10.261</v>
      </c>
      <c r="W34" s="179">
        <v>11.017</v>
      </c>
      <c r="X34" s="296">
        <f t="shared" si="4"/>
        <v>7.367702952928568</v>
      </c>
      <c r="Y34" s="126" t="s">
        <v>43</v>
      </c>
      <c r="Z34" s="64"/>
    </row>
    <row r="35" spans="1:26" ht="12.75" customHeight="1">
      <c r="A35" s="18"/>
      <c r="B35" s="21" t="s">
        <v>31</v>
      </c>
      <c r="C35" s="166">
        <v>30.6</v>
      </c>
      <c r="D35" s="166">
        <v>30.5</v>
      </c>
      <c r="E35" s="255">
        <v>33.4</v>
      </c>
      <c r="F35" s="173">
        <v>32.7</v>
      </c>
      <c r="G35" s="173">
        <v>31.9</v>
      </c>
      <c r="H35" s="173">
        <v>30.6</v>
      </c>
      <c r="I35" s="173">
        <v>28.9</v>
      </c>
      <c r="J35" s="173">
        <v>30.2707</v>
      </c>
      <c r="K35" s="173">
        <v>32.3478</v>
      </c>
      <c r="L35" s="173">
        <v>34.8856</v>
      </c>
      <c r="M35" s="173">
        <v>36.4972</v>
      </c>
      <c r="N35" s="173">
        <v>38.6937</v>
      </c>
      <c r="O35" s="173">
        <v>38.4061</v>
      </c>
      <c r="P35" s="173">
        <v>39.3807</v>
      </c>
      <c r="Q35" s="173">
        <v>39.9233</v>
      </c>
      <c r="R35" s="173">
        <v>41.163999999999994</v>
      </c>
      <c r="S35" s="173">
        <v>43.348</v>
      </c>
      <c r="T35" s="173">
        <v>44.415</v>
      </c>
      <c r="U35" s="173">
        <v>47.037</v>
      </c>
      <c r="V35" s="173">
        <v>50.171</v>
      </c>
      <c r="W35" s="173">
        <v>52.675</v>
      </c>
      <c r="X35" s="300">
        <f t="shared" si="4"/>
        <v>4.990931015925537</v>
      </c>
      <c r="Y35" s="21" t="s">
        <v>31</v>
      </c>
      <c r="Z35" s="64"/>
    </row>
    <row r="36" spans="1:26" ht="12.75" customHeight="1">
      <c r="A36" s="18"/>
      <c r="B36" s="126" t="s">
        <v>50</v>
      </c>
      <c r="C36" s="188">
        <v>3.732</v>
      </c>
      <c r="D36" s="188">
        <v>3.619</v>
      </c>
      <c r="E36" s="179">
        <v>3.429</v>
      </c>
      <c r="F36" s="179">
        <v>1.427</v>
      </c>
      <c r="G36" s="179">
        <v>1.145</v>
      </c>
      <c r="H36" s="179">
        <v>1.094</v>
      </c>
      <c r="I36" s="179">
        <v>1.182</v>
      </c>
      <c r="J36" s="179">
        <v>1.139</v>
      </c>
      <c r="K36" s="179">
        <v>1.205</v>
      </c>
      <c r="L36" s="179">
        <v>1.158</v>
      </c>
      <c r="M36" s="179">
        <v>1.092</v>
      </c>
      <c r="N36" s="179">
        <v>1.137</v>
      </c>
      <c r="O36" s="179">
        <v>1.252</v>
      </c>
      <c r="P36" s="179">
        <v>1.241</v>
      </c>
      <c r="Q36" s="179">
        <v>1.195</v>
      </c>
      <c r="R36" s="179">
        <v>1.163</v>
      </c>
      <c r="S36" s="179">
        <v>1.213</v>
      </c>
      <c r="T36" s="179">
        <v>1.266</v>
      </c>
      <c r="U36" s="179">
        <v>1.362</v>
      </c>
      <c r="V36" s="179">
        <v>1.611</v>
      </c>
      <c r="W36" s="179">
        <v>1.81</v>
      </c>
      <c r="X36" s="296">
        <f t="shared" si="4"/>
        <v>12.35257603972688</v>
      </c>
      <c r="Y36" s="126" t="s">
        <v>50</v>
      </c>
      <c r="Z36" s="64"/>
    </row>
    <row r="37" spans="1:26" s="356" customFormat="1" ht="12.75" customHeight="1">
      <c r="A37" s="352"/>
      <c r="B37" s="20" t="s">
        <v>9</v>
      </c>
      <c r="C37" s="353"/>
      <c r="D37" s="353"/>
      <c r="E37" s="354"/>
      <c r="F37" s="64"/>
      <c r="G37" s="64"/>
      <c r="H37" s="64"/>
      <c r="I37" s="64"/>
      <c r="J37" s="82">
        <v>0.1</v>
      </c>
      <c r="K37" s="82">
        <v>0.1</v>
      </c>
      <c r="L37" s="82">
        <v>0.1</v>
      </c>
      <c r="M37" s="82">
        <v>0.1</v>
      </c>
      <c r="N37" s="82">
        <v>0.1</v>
      </c>
      <c r="O37" s="82">
        <v>0.1</v>
      </c>
      <c r="P37" s="82">
        <v>0.133</v>
      </c>
      <c r="Q37" s="64">
        <v>0.098</v>
      </c>
      <c r="R37" s="64">
        <v>0.092</v>
      </c>
      <c r="S37" s="64">
        <v>0.094</v>
      </c>
      <c r="T37" s="64">
        <v>0.094</v>
      </c>
      <c r="U37" s="64">
        <v>0.105</v>
      </c>
      <c r="V37" s="64">
        <v>0.109</v>
      </c>
      <c r="W37" s="64">
        <v>0.148</v>
      </c>
      <c r="X37" s="355">
        <f t="shared" si="4"/>
        <v>35.77981651376145</v>
      </c>
      <c r="Y37" s="20" t="s">
        <v>9</v>
      </c>
      <c r="Z37" s="64"/>
    </row>
    <row r="38" spans="1:26" ht="12.75" customHeight="1">
      <c r="A38" s="18"/>
      <c r="B38" s="127" t="s">
        <v>27</v>
      </c>
      <c r="C38" s="186">
        <v>5.561</v>
      </c>
      <c r="D38" s="186">
        <v>6.011</v>
      </c>
      <c r="E38" s="187">
        <v>6.41</v>
      </c>
      <c r="F38" s="187">
        <v>6.048</v>
      </c>
      <c r="G38" s="187">
        <v>6.259</v>
      </c>
      <c r="H38" s="187">
        <v>7.147</v>
      </c>
      <c r="I38" s="187">
        <v>6.335</v>
      </c>
      <c r="J38" s="187">
        <v>5.797</v>
      </c>
      <c r="K38" s="187">
        <v>5.229</v>
      </c>
      <c r="L38" s="187">
        <v>5.84</v>
      </c>
      <c r="M38" s="187">
        <v>6.16</v>
      </c>
      <c r="N38" s="187">
        <v>6.146</v>
      </c>
      <c r="O38" s="187">
        <v>5.832</v>
      </c>
      <c r="P38" s="187">
        <v>5.568</v>
      </c>
      <c r="Q38" s="187">
        <v>5.204</v>
      </c>
      <c r="R38" s="187">
        <v>5.878</v>
      </c>
      <c r="S38" s="187">
        <v>5.237</v>
      </c>
      <c r="T38" s="187">
        <v>5.036</v>
      </c>
      <c r="U38" s="187">
        <v>5.277</v>
      </c>
      <c r="V38" s="187">
        <v>5.553</v>
      </c>
      <c r="W38" s="187">
        <v>5.097</v>
      </c>
      <c r="X38" s="309">
        <f t="shared" si="4"/>
        <v>-8.211777417612097</v>
      </c>
      <c r="Y38" s="127" t="s">
        <v>27</v>
      </c>
      <c r="Z38" s="64"/>
    </row>
    <row r="39" spans="1:26" s="356" customFormat="1" ht="12.75" customHeight="1">
      <c r="A39" s="352"/>
      <c r="B39" s="20" t="s">
        <v>13</v>
      </c>
      <c r="C39" s="376" t="s">
        <v>47</v>
      </c>
      <c r="D39" s="376" t="s">
        <v>47</v>
      </c>
      <c r="E39" s="377" t="s">
        <v>47</v>
      </c>
      <c r="F39" s="377" t="s">
        <v>47</v>
      </c>
      <c r="G39" s="377" t="s">
        <v>47</v>
      </c>
      <c r="H39" s="377" t="s">
        <v>47</v>
      </c>
      <c r="I39" s="377" t="s">
        <v>47</v>
      </c>
      <c r="J39" s="377" t="s">
        <v>47</v>
      </c>
      <c r="K39" s="377" t="s">
        <v>47</v>
      </c>
      <c r="L39" s="377" t="s">
        <v>47</v>
      </c>
      <c r="M39" s="377" t="s">
        <v>47</v>
      </c>
      <c r="N39" s="377" t="s">
        <v>47</v>
      </c>
      <c r="O39" s="377" t="s">
        <v>47</v>
      </c>
      <c r="P39" s="377" t="s">
        <v>47</v>
      </c>
      <c r="Q39" s="377" t="s">
        <v>47</v>
      </c>
      <c r="R39" s="377" t="s">
        <v>47</v>
      </c>
      <c r="S39" s="377" t="s">
        <v>47</v>
      </c>
      <c r="T39" s="377" t="s">
        <v>47</v>
      </c>
      <c r="U39" s="377" t="s">
        <v>47</v>
      </c>
      <c r="V39" s="377" t="s">
        <v>47</v>
      </c>
      <c r="W39" s="377" t="s">
        <v>47</v>
      </c>
      <c r="X39" s="330"/>
      <c r="Y39" s="20" t="s">
        <v>13</v>
      </c>
      <c r="Z39" s="26"/>
    </row>
    <row r="40" spans="1:26" ht="12.75" customHeight="1">
      <c r="A40" s="18"/>
      <c r="B40" s="126" t="s">
        <v>44</v>
      </c>
      <c r="C40" s="177">
        <v>1.86</v>
      </c>
      <c r="D40" s="177">
        <v>2.394</v>
      </c>
      <c r="E40" s="179">
        <v>2.104</v>
      </c>
      <c r="F40" s="179">
        <v>2.15</v>
      </c>
      <c r="G40" s="179">
        <v>2.256</v>
      </c>
      <c r="H40" s="179">
        <v>2.316</v>
      </c>
      <c r="I40" s="179">
        <v>2.398</v>
      </c>
      <c r="J40" s="179">
        <v>2.381</v>
      </c>
      <c r="K40" s="179">
        <v>2.449</v>
      </c>
      <c r="L40" s="179">
        <v>2.561</v>
      </c>
      <c r="M40" s="179">
        <v>2.59</v>
      </c>
      <c r="N40" s="179">
        <v>2.674</v>
      </c>
      <c r="O40" s="179">
        <v>2.635</v>
      </c>
      <c r="P40" s="179">
        <v>2.677</v>
      </c>
      <c r="Q40" s="179">
        <v>2.477</v>
      </c>
      <c r="R40" s="179">
        <v>2.381</v>
      </c>
      <c r="S40" s="179">
        <v>2.62</v>
      </c>
      <c r="T40" s="179">
        <v>2.723</v>
      </c>
      <c r="U40" s="179">
        <v>2.833</v>
      </c>
      <c r="V40" s="179">
        <v>2.971</v>
      </c>
      <c r="W40" s="179">
        <v>3.059</v>
      </c>
      <c r="X40" s="296">
        <f t="shared" si="4"/>
        <v>2.9619656681252104</v>
      </c>
      <c r="Y40" s="126" t="s">
        <v>44</v>
      </c>
      <c r="Z40" s="64"/>
    </row>
    <row r="41" spans="1:26" s="356" customFormat="1" ht="12.75" customHeight="1">
      <c r="A41" s="352"/>
      <c r="B41" s="21" t="s">
        <v>14</v>
      </c>
      <c r="C41" s="370">
        <v>9.339</v>
      </c>
      <c r="D41" s="370">
        <v>9.964</v>
      </c>
      <c r="E41" s="371">
        <v>12.68</v>
      </c>
      <c r="F41" s="371">
        <v>13.83</v>
      </c>
      <c r="G41" s="371">
        <v>13.21</v>
      </c>
      <c r="H41" s="371">
        <v>13.38</v>
      </c>
      <c r="I41" s="371">
        <v>13.84</v>
      </c>
      <c r="J41" s="371">
        <v>11.71</v>
      </c>
      <c r="K41" s="371">
        <v>11.89</v>
      </c>
      <c r="L41" s="371">
        <v>12.05</v>
      </c>
      <c r="M41" s="371">
        <v>12.15</v>
      </c>
      <c r="N41" s="371">
        <v>12.5</v>
      </c>
      <c r="O41" s="371">
        <v>12.62</v>
      </c>
      <c r="P41" s="371">
        <v>13.301</v>
      </c>
      <c r="Q41" s="371">
        <v>14.147</v>
      </c>
      <c r="R41" s="371">
        <v>14.509</v>
      </c>
      <c r="S41" s="371">
        <v>14.914</v>
      </c>
      <c r="T41" s="371">
        <v>16.144</v>
      </c>
      <c r="U41" s="371">
        <v>16.578</v>
      </c>
      <c r="V41" s="371">
        <v>17.434</v>
      </c>
      <c r="W41" s="373">
        <v>18.028</v>
      </c>
      <c r="X41" s="382">
        <f t="shared" si="4"/>
        <v>3.4071354823907107</v>
      </c>
      <c r="Y41" s="21" t="s">
        <v>14</v>
      </c>
      <c r="Z41" s="64"/>
    </row>
    <row r="42" spans="2:25" ht="15" customHeight="1">
      <c r="B42" s="429" t="s">
        <v>107</v>
      </c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</row>
    <row r="43" spans="2:25" ht="12.75" customHeight="1">
      <c r="B43" s="2" t="s">
        <v>10</v>
      </c>
      <c r="C43" s="306"/>
      <c r="D43" s="383"/>
      <c r="E43" s="378"/>
      <c r="F43" s="378"/>
      <c r="G43" s="378"/>
      <c r="H43" s="378"/>
      <c r="I43" s="378"/>
      <c r="J43" s="379"/>
      <c r="K43" s="384"/>
      <c r="L43" s="378"/>
      <c r="M43" s="378"/>
      <c r="N43" s="379"/>
      <c r="O43" s="379"/>
      <c r="P43" s="379"/>
      <c r="Q43" s="379"/>
      <c r="R43" s="379"/>
      <c r="S43" s="306"/>
      <c r="T43" s="306"/>
      <c r="U43" s="306"/>
      <c r="V43" s="306"/>
      <c r="W43" s="306"/>
      <c r="X43" s="306"/>
      <c r="Y43" s="306"/>
    </row>
    <row r="44" spans="2:24" ht="12.75" customHeight="1">
      <c r="B44" s="56" t="s">
        <v>97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2:24" ht="12.75" customHeight="1">
      <c r="B45" s="56" t="s">
        <v>102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2:24" ht="11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</sheetData>
  <mergeCells count="2">
    <mergeCell ref="B2:Y2"/>
    <mergeCell ref="B42:Y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B1:Z39"/>
  <sheetViews>
    <sheetView workbookViewId="0" topLeftCell="A1">
      <selection activeCell="U12" sqref="U12"/>
    </sheetView>
  </sheetViews>
  <sheetFormatPr defaultColWidth="9.140625" defaultRowHeight="12.75"/>
  <cols>
    <col min="1" max="1" width="3.28125" style="0" customWidth="1"/>
    <col min="2" max="2" width="4.140625" style="0" customWidth="1"/>
    <col min="3" max="15" width="5.7109375" style="0" customWidth="1"/>
    <col min="16" max="16" width="6.00390625" style="0" customWidth="1"/>
    <col min="17" max="24" width="5.7109375" style="0" customWidth="1"/>
    <col min="25" max="25" width="7.57421875" style="0" customWidth="1"/>
    <col min="26" max="26" width="5.7109375" style="0" customWidth="1"/>
  </cols>
  <sheetData>
    <row r="1" spans="2:16" ht="14.25" customHeight="1">
      <c r="B1" s="432"/>
      <c r="C1" s="432"/>
      <c r="D1" s="137"/>
      <c r="E1" s="69"/>
      <c r="F1" s="69"/>
      <c r="G1" s="69"/>
      <c r="H1" s="69"/>
      <c r="I1" s="69"/>
      <c r="J1" s="69"/>
      <c r="K1" s="69"/>
      <c r="L1" s="69"/>
      <c r="M1" s="69"/>
      <c r="N1" s="70"/>
      <c r="P1" s="99" t="s">
        <v>56</v>
      </c>
    </row>
    <row r="2" spans="2:16" s="24" customFormat="1" ht="30" customHeight="1">
      <c r="B2" s="435" t="s">
        <v>76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2:15" ht="10.5" customHeight="1">
      <c r="B3" s="433" t="s">
        <v>7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</row>
    <row r="4" spans="2:16" ht="24.75" customHeight="1">
      <c r="B4" s="71"/>
      <c r="C4" s="93" t="s">
        <v>33</v>
      </c>
      <c r="D4" s="93" t="s">
        <v>17</v>
      </c>
      <c r="E4" s="93" t="s">
        <v>34</v>
      </c>
      <c r="F4" s="94" t="s">
        <v>35</v>
      </c>
      <c r="G4" s="93" t="s">
        <v>36</v>
      </c>
      <c r="H4" s="93" t="s">
        <v>38</v>
      </c>
      <c r="I4" s="93" t="s">
        <v>30</v>
      </c>
      <c r="J4" s="93" t="s">
        <v>41</v>
      </c>
      <c r="K4" s="93" t="s">
        <v>26</v>
      </c>
      <c r="L4" s="93" t="s">
        <v>42</v>
      </c>
      <c r="M4" s="93" t="s">
        <v>43</v>
      </c>
      <c r="N4" s="94" t="s">
        <v>31</v>
      </c>
      <c r="O4" s="147" t="s">
        <v>79</v>
      </c>
      <c r="P4" s="385" t="s">
        <v>110</v>
      </c>
    </row>
    <row r="5" spans="2:16" ht="15" customHeight="1">
      <c r="B5" s="95">
        <v>1990</v>
      </c>
      <c r="C5" s="399" t="s">
        <v>47</v>
      </c>
      <c r="D5" s="399" t="s">
        <v>47</v>
      </c>
      <c r="E5" s="399" t="s">
        <v>47</v>
      </c>
      <c r="F5" s="399" t="s">
        <v>47</v>
      </c>
      <c r="G5" s="377">
        <v>14.92</v>
      </c>
      <c r="H5" s="377">
        <v>0.3</v>
      </c>
      <c r="I5" s="399" t="s">
        <v>47</v>
      </c>
      <c r="J5" s="399" t="s">
        <v>47</v>
      </c>
      <c r="K5" s="399" t="s">
        <v>47</v>
      </c>
      <c r="L5" s="399" t="s">
        <v>47</v>
      </c>
      <c r="M5" s="399">
        <v>0.006</v>
      </c>
      <c r="N5" s="399" t="s">
        <v>47</v>
      </c>
      <c r="O5" s="400">
        <f aca="true" t="shared" si="0" ref="O5:O23">SUM(C5:N5)</f>
        <v>15.226</v>
      </c>
      <c r="P5" s="386"/>
    </row>
    <row r="6" spans="2:16" ht="15" customHeight="1">
      <c r="B6" s="96">
        <v>1991</v>
      </c>
      <c r="C6" s="401" t="s">
        <v>47</v>
      </c>
      <c r="D6" s="401" t="s">
        <v>47</v>
      </c>
      <c r="E6" s="26">
        <v>2</v>
      </c>
      <c r="F6" s="401" t="s">
        <v>47</v>
      </c>
      <c r="G6" s="26">
        <v>17.87</v>
      </c>
      <c r="H6" s="26">
        <v>0.4</v>
      </c>
      <c r="I6" s="401" t="s">
        <v>47</v>
      </c>
      <c r="J6" s="401" t="s">
        <v>47</v>
      </c>
      <c r="K6" s="401" t="s">
        <v>47</v>
      </c>
      <c r="L6" s="401" t="s">
        <v>47</v>
      </c>
      <c r="M6" s="26">
        <v>0.094</v>
      </c>
      <c r="N6" s="401" t="s">
        <v>47</v>
      </c>
      <c r="O6" s="402">
        <f t="shared" si="0"/>
        <v>20.364</v>
      </c>
      <c r="P6" s="387">
        <f>(O6/O5-1)</f>
        <v>0.3374491002233022</v>
      </c>
    </row>
    <row r="7" spans="2:16" ht="15" customHeight="1">
      <c r="B7" s="96">
        <v>1992</v>
      </c>
      <c r="C7" s="401" t="s">
        <v>47</v>
      </c>
      <c r="D7" s="401" t="s">
        <v>47</v>
      </c>
      <c r="E7" s="26">
        <v>5.2</v>
      </c>
      <c r="F7" s="26">
        <v>0.4</v>
      </c>
      <c r="G7" s="26">
        <v>18.96</v>
      </c>
      <c r="H7" s="26">
        <v>0.4</v>
      </c>
      <c r="I7" s="401" t="s">
        <v>47</v>
      </c>
      <c r="J7" s="401" t="s">
        <v>47</v>
      </c>
      <c r="K7" s="401" t="s">
        <v>47</v>
      </c>
      <c r="L7" s="401" t="s">
        <v>47</v>
      </c>
      <c r="M7" s="26">
        <v>0.154</v>
      </c>
      <c r="N7" s="401" t="s">
        <v>47</v>
      </c>
      <c r="O7" s="402">
        <f t="shared" si="0"/>
        <v>25.114</v>
      </c>
      <c r="P7" s="387">
        <f aca="true" t="shared" si="1" ref="P7:P23">(O7/O6-1)</f>
        <v>0.23325476330779815</v>
      </c>
    </row>
    <row r="8" spans="2:26" ht="15" customHeight="1">
      <c r="B8" s="96">
        <v>1993</v>
      </c>
      <c r="C8" s="401" t="s">
        <v>47</v>
      </c>
      <c r="D8" s="401" t="s">
        <v>47</v>
      </c>
      <c r="E8" s="26">
        <v>7</v>
      </c>
      <c r="F8" s="26">
        <v>0.9</v>
      </c>
      <c r="G8" s="26">
        <v>18.93</v>
      </c>
      <c r="H8" s="26">
        <v>0.5</v>
      </c>
      <c r="I8" s="401" t="s">
        <v>47</v>
      </c>
      <c r="J8" s="401" t="s">
        <v>47</v>
      </c>
      <c r="K8" s="401" t="s">
        <v>47</v>
      </c>
      <c r="L8" s="401" t="s">
        <v>47</v>
      </c>
      <c r="M8" s="26">
        <v>0.272</v>
      </c>
      <c r="N8" s="401" t="s">
        <v>47</v>
      </c>
      <c r="O8" s="402">
        <f t="shared" si="0"/>
        <v>27.601999999999997</v>
      </c>
      <c r="P8" s="387">
        <f t="shared" si="1"/>
        <v>0.09906824878553788</v>
      </c>
      <c r="Q8" s="3"/>
      <c r="R8" s="3"/>
      <c r="T8" s="3"/>
      <c r="U8" s="3"/>
      <c r="V8" s="3"/>
      <c r="W8" s="3"/>
      <c r="X8" s="3"/>
      <c r="Y8" s="3"/>
      <c r="Z8" s="3"/>
    </row>
    <row r="9" spans="2:26" ht="15" customHeight="1">
      <c r="B9" s="96">
        <v>1994</v>
      </c>
      <c r="C9" s="401" t="s">
        <v>47</v>
      </c>
      <c r="D9" s="401" t="s">
        <v>47</v>
      </c>
      <c r="E9" s="26">
        <v>8.2</v>
      </c>
      <c r="F9" s="26">
        <v>0.9</v>
      </c>
      <c r="G9" s="26">
        <v>20.51</v>
      </c>
      <c r="H9" s="26">
        <v>0.8</v>
      </c>
      <c r="I9" s="401" t="s">
        <v>47</v>
      </c>
      <c r="J9" s="401" t="s">
        <v>47</v>
      </c>
      <c r="K9" s="401" t="s">
        <v>47</v>
      </c>
      <c r="L9" s="401" t="s">
        <v>47</v>
      </c>
      <c r="M9" s="26">
        <v>0.305</v>
      </c>
      <c r="N9" s="26"/>
      <c r="O9" s="403">
        <f t="shared" si="0"/>
        <v>30.715</v>
      </c>
      <c r="P9" s="387">
        <f t="shared" si="1"/>
        <v>0.11278168248677645</v>
      </c>
      <c r="Q9" s="3"/>
      <c r="R9" s="3"/>
      <c r="T9" s="3"/>
      <c r="U9" s="3"/>
      <c r="V9" s="3"/>
      <c r="W9" s="3"/>
      <c r="X9" s="3"/>
      <c r="Y9" s="3"/>
      <c r="Z9" s="3"/>
    </row>
    <row r="10" spans="2:16" ht="15" customHeight="1">
      <c r="B10" s="96">
        <v>1995</v>
      </c>
      <c r="C10" s="401" t="s">
        <v>47</v>
      </c>
      <c r="D10" s="401" t="s">
        <v>47</v>
      </c>
      <c r="E10" s="26">
        <v>8.7</v>
      </c>
      <c r="F10" s="26">
        <v>1.294</v>
      </c>
      <c r="G10" s="26">
        <v>21.43</v>
      </c>
      <c r="H10" s="26">
        <v>1.1</v>
      </c>
      <c r="I10" s="401" t="s">
        <v>47</v>
      </c>
      <c r="J10" s="401" t="s">
        <v>47</v>
      </c>
      <c r="K10" s="401" t="s">
        <v>47</v>
      </c>
      <c r="L10" s="401" t="s">
        <v>47</v>
      </c>
      <c r="M10" s="26">
        <v>0.415</v>
      </c>
      <c r="N10" s="26"/>
      <c r="O10" s="403">
        <f t="shared" si="0"/>
        <v>32.939</v>
      </c>
      <c r="P10" s="387">
        <f t="shared" si="1"/>
        <v>0.07240761842747845</v>
      </c>
    </row>
    <row r="11" spans="2:16" ht="15" customHeight="1">
      <c r="B11" s="96">
        <v>1996</v>
      </c>
      <c r="C11" s="401">
        <v>0.32</v>
      </c>
      <c r="D11" s="401" t="s">
        <v>47</v>
      </c>
      <c r="E11" s="26">
        <v>8.85</v>
      </c>
      <c r="F11" s="26">
        <v>1.1</v>
      </c>
      <c r="G11" s="26">
        <v>24.79</v>
      </c>
      <c r="H11" s="26">
        <v>1.3</v>
      </c>
      <c r="I11" s="401">
        <v>0.031</v>
      </c>
      <c r="J11" s="401" t="s">
        <v>47</v>
      </c>
      <c r="K11" s="401" t="s">
        <v>47</v>
      </c>
      <c r="L11" s="401">
        <v>0.024</v>
      </c>
      <c r="M11" s="26">
        <v>1.101</v>
      </c>
      <c r="N11" s="26"/>
      <c r="O11" s="403">
        <f t="shared" si="0"/>
        <v>37.516</v>
      </c>
      <c r="P11" s="387">
        <f t="shared" si="1"/>
        <v>0.1389538237347825</v>
      </c>
    </row>
    <row r="12" spans="2:16" ht="15" customHeight="1">
      <c r="B12" s="96">
        <v>1997</v>
      </c>
      <c r="C12" s="26">
        <v>0.555</v>
      </c>
      <c r="D12" s="401" t="s">
        <v>47</v>
      </c>
      <c r="E12" s="26">
        <v>10.073</v>
      </c>
      <c r="F12" s="26">
        <v>1.3</v>
      </c>
      <c r="G12" s="26">
        <v>27.58</v>
      </c>
      <c r="H12" s="26">
        <v>2.4</v>
      </c>
      <c r="I12" s="401">
        <v>0.073</v>
      </c>
      <c r="J12" s="401" t="s">
        <v>47</v>
      </c>
      <c r="K12" s="401" t="s">
        <v>47</v>
      </c>
      <c r="L12" s="401">
        <v>0.053</v>
      </c>
      <c r="M12" s="26">
        <v>1.328</v>
      </c>
      <c r="N12" s="26"/>
      <c r="O12" s="403">
        <f t="shared" si="0"/>
        <v>43.361999999999995</v>
      </c>
      <c r="P12" s="387">
        <f t="shared" si="1"/>
        <v>0.15582684721185625</v>
      </c>
    </row>
    <row r="13" spans="2:16" ht="15" customHeight="1">
      <c r="B13" s="96">
        <v>1998</v>
      </c>
      <c r="C13" s="381">
        <v>0.788</v>
      </c>
      <c r="D13" s="401" t="s">
        <v>47</v>
      </c>
      <c r="E13" s="26">
        <v>10.155</v>
      </c>
      <c r="F13" s="26">
        <v>1.516</v>
      </c>
      <c r="G13" s="26">
        <v>29.98</v>
      </c>
      <c r="H13" s="26">
        <v>3.638</v>
      </c>
      <c r="I13" s="26">
        <v>0.09</v>
      </c>
      <c r="J13" s="401" t="s">
        <v>47</v>
      </c>
      <c r="K13" s="401" t="s">
        <v>47</v>
      </c>
      <c r="L13" s="26">
        <v>0.056</v>
      </c>
      <c r="M13" s="26">
        <v>1.605</v>
      </c>
      <c r="N13" s="26"/>
      <c r="O13" s="403">
        <f t="shared" si="0"/>
        <v>47.827999999999996</v>
      </c>
      <c r="P13" s="387">
        <f t="shared" si="1"/>
        <v>0.10299340436326743</v>
      </c>
    </row>
    <row r="14" spans="2:16" ht="15" customHeight="1">
      <c r="B14" s="96">
        <v>1999</v>
      </c>
      <c r="C14" s="381">
        <v>0.804</v>
      </c>
      <c r="D14" s="401" t="s">
        <v>47</v>
      </c>
      <c r="E14" s="26">
        <v>11.591</v>
      </c>
      <c r="F14" s="26">
        <v>1.674</v>
      </c>
      <c r="G14" s="26">
        <v>32.36</v>
      </c>
      <c r="H14" s="26">
        <v>4.464</v>
      </c>
      <c r="I14" s="26">
        <v>0.1</v>
      </c>
      <c r="J14" s="401" t="s">
        <v>47</v>
      </c>
      <c r="K14" s="401" t="s">
        <v>47</v>
      </c>
      <c r="L14" s="26">
        <v>0.054</v>
      </c>
      <c r="M14" s="26">
        <v>1.812</v>
      </c>
      <c r="N14" s="26"/>
      <c r="O14" s="403">
        <f t="shared" si="0"/>
        <v>52.859</v>
      </c>
      <c r="P14" s="387">
        <f t="shared" si="1"/>
        <v>0.10518942878648496</v>
      </c>
    </row>
    <row r="15" spans="2:16" ht="15" customHeight="1">
      <c r="B15" s="96">
        <v>2000</v>
      </c>
      <c r="C15" s="381">
        <v>0.865</v>
      </c>
      <c r="D15" s="401" t="s">
        <v>47</v>
      </c>
      <c r="E15" s="26">
        <v>13.925</v>
      </c>
      <c r="F15" s="26">
        <v>1.942</v>
      </c>
      <c r="G15" s="26">
        <v>34.747</v>
      </c>
      <c r="H15" s="26">
        <v>5.086</v>
      </c>
      <c r="I15" s="26">
        <v>0.113</v>
      </c>
      <c r="J15" s="401" t="s">
        <v>47</v>
      </c>
      <c r="K15" s="401" t="s">
        <v>47</v>
      </c>
      <c r="L15" s="26">
        <v>0.071</v>
      </c>
      <c r="M15" s="26">
        <v>2.047</v>
      </c>
      <c r="N15" s="26"/>
      <c r="O15" s="403">
        <f t="shared" si="0"/>
        <v>58.79599999999999</v>
      </c>
      <c r="P15" s="387">
        <f t="shared" si="1"/>
        <v>0.11231767532492087</v>
      </c>
    </row>
    <row r="16" spans="2:16" ht="15" customHeight="1">
      <c r="B16" s="96">
        <v>2001</v>
      </c>
      <c r="C16" s="26">
        <v>0.889</v>
      </c>
      <c r="D16" s="401" t="s">
        <v>47</v>
      </c>
      <c r="E16" s="26">
        <v>15.515</v>
      </c>
      <c r="F16" s="26">
        <v>2.077</v>
      </c>
      <c r="G16" s="26">
        <v>37.404</v>
      </c>
      <c r="H16" s="26">
        <v>6.763</v>
      </c>
      <c r="I16" s="26">
        <v>0.191</v>
      </c>
      <c r="J16" s="401" t="s">
        <v>47</v>
      </c>
      <c r="K16" s="401" t="s">
        <v>47</v>
      </c>
      <c r="L16" s="26">
        <v>0.06</v>
      </c>
      <c r="M16" s="26">
        <v>2.227</v>
      </c>
      <c r="N16" s="26"/>
      <c r="O16" s="403">
        <f t="shared" si="0"/>
        <v>65.126</v>
      </c>
      <c r="P16" s="387">
        <f t="shared" si="1"/>
        <v>0.10766038506020847</v>
      </c>
    </row>
    <row r="17" spans="2:16" ht="15" customHeight="1">
      <c r="B17" s="96">
        <v>2002</v>
      </c>
      <c r="C17" s="26">
        <v>0.909</v>
      </c>
      <c r="D17" s="401" t="s">
        <v>47</v>
      </c>
      <c r="E17" s="26">
        <v>15.255</v>
      </c>
      <c r="F17" s="26">
        <v>2.181</v>
      </c>
      <c r="G17" s="26">
        <v>39.856</v>
      </c>
      <c r="H17" s="26">
        <v>7.078</v>
      </c>
      <c r="I17" s="26">
        <v>0.201</v>
      </c>
      <c r="J17" s="401" t="s">
        <v>47</v>
      </c>
      <c r="K17" s="401" t="s">
        <v>47</v>
      </c>
      <c r="L17" s="26">
        <v>0.135</v>
      </c>
      <c r="M17" s="26">
        <v>2.39</v>
      </c>
      <c r="N17" s="26"/>
      <c r="O17" s="403">
        <f t="shared" si="0"/>
        <v>68.00500000000001</v>
      </c>
      <c r="P17" s="387">
        <f t="shared" si="1"/>
        <v>0.044206614869637395</v>
      </c>
    </row>
    <row r="18" spans="2:16" ht="15" customHeight="1">
      <c r="B18" s="96">
        <v>2003</v>
      </c>
      <c r="C18" s="381">
        <v>0.878</v>
      </c>
      <c r="D18" s="401" t="s">
        <v>47</v>
      </c>
      <c r="E18" s="26">
        <v>17.457</v>
      </c>
      <c r="F18" s="26">
        <v>2.027</v>
      </c>
      <c r="G18" s="26">
        <v>39.604</v>
      </c>
      <c r="H18" s="26">
        <v>7.431</v>
      </c>
      <c r="I18" s="26">
        <v>0.664</v>
      </c>
      <c r="J18" s="401" t="s">
        <v>47</v>
      </c>
      <c r="K18" s="401" t="s">
        <v>47</v>
      </c>
      <c r="L18" s="26">
        <v>0.2</v>
      </c>
      <c r="M18" s="26">
        <v>2.4</v>
      </c>
      <c r="N18" s="26"/>
      <c r="O18" s="403">
        <f t="shared" si="0"/>
        <v>70.66100000000002</v>
      </c>
      <c r="P18" s="387">
        <f t="shared" si="1"/>
        <v>0.039055951768252495</v>
      </c>
    </row>
    <row r="19" spans="2:16" ht="15" customHeight="1">
      <c r="B19" s="96">
        <v>2004</v>
      </c>
      <c r="C19" s="381">
        <v>0.94</v>
      </c>
      <c r="D19" s="26">
        <v>0.001</v>
      </c>
      <c r="E19" s="26">
        <v>19.604</v>
      </c>
      <c r="F19" s="26">
        <v>2.085</v>
      </c>
      <c r="G19" s="26">
        <v>41.439</v>
      </c>
      <c r="H19" s="26">
        <v>7.925</v>
      </c>
      <c r="I19" s="26">
        <v>0.657</v>
      </c>
      <c r="J19" s="26">
        <v>0.436</v>
      </c>
      <c r="K19" s="26" t="s">
        <v>47</v>
      </c>
      <c r="L19" s="26">
        <v>0.162</v>
      </c>
      <c r="M19" s="26">
        <v>2.422</v>
      </c>
      <c r="N19" s="26">
        <v>0.44</v>
      </c>
      <c r="O19" s="403">
        <f t="shared" si="0"/>
        <v>76.111</v>
      </c>
      <c r="P19" s="387">
        <f t="shared" si="1"/>
        <v>0.07712882636815199</v>
      </c>
    </row>
    <row r="20" spans="2:16" ht="15" customHeight="1">
      <c r="B20" s="96">
        <v>2005</v>
      </c>
      <c r="C20" s="381">
        <v>0.982</v>
      </c>
      <c r="D20" s="26">
        <v>0.006</v>
      </c>
      <c r="E20" s="26">
        <v>20.853</v>
      </c>
      <c r="F20" s="26">
        <v>2.324</v>
      </c>
      <c r="G20" s="26">
        <v>43.13</v>
      </c>
      <c r="H20" s="26">
        <v>8.55</v>
      </c>
      <c r="I20" s="26">
        <v>0.687</v>
      </c>
      <c r="J20" s="26">
        <v>0.49</v>
      </c>
      <c r="K20" s="26" t="s">
        <v>47</v>
      </c>
      <c r="L20" s="26">
        <v>0.311</v>
      </c>
      <c r="M20" s="26">
        <v>2.33</v>
      </c>
      <c r="N20" s="404">
        <v>0.45</v>
      </c>
      <c r="O20" s="403">
        <f t="shared" si="0"/>
        <v>80.113</v>
      </c>
      <c r="P20" s="387">
        <f t="shared" si="1"/>
        <v>0.05258109865853822</v>
      </c>
    </row>
    <row r="21" spans="2:16" ht="15" customHeight="1">
      <c r="B21" s="96">
        <v>2006</v>
      </c>
      <c r="C21" s="381">
        <v>1</v>
      </c>
      <c r="D21" s="26">
        <v>0.148</v>
      </c>
      <c r="E21" s="26">
        <v>21.635</v>
      </c>
      <c r="F21" s="26">
        <v>2.697</v>
      </c>
      <c r="G21" s="26">
        <v>44.853</v>
      </c>
      <c r="H21" s="26">
        <v>8.912</v>
      </c>
      <c r="I21" s="26">
        <v>0.733</v>
      </c>
      <c r="J21" s="26">
        <v>0.508</v>
      </c>
      <c r="K21" s="26" t="s">
        <v>47</v>
      </c>
      <c r="L21" s="26">
        <v>0.435</v>
      </c>
      <c r="M21" s="26">
        <v>2.49</v>
      </c>
      <c r="N21" s="26">
        <v>0.904</v>
      </c>
      <c r="O21" s="403">
        <f t="shared" si="0"/>
        <v>84.315</v>
      </c>
      <c r="P21" s="387">
        <f t="shared" si="1"/>
        <v>0.05245091308526706</v>
      </c>
    </row>
    <row r="22" spans="2:16" ht="15" customHeight="1">
      <c r="B22" s="96">
        <v>2007</v>
      </c>
      <c r="C22" s="381">
        <v>1.018</v>
      </c>
      <c r="D22" s="26">
        <v>0.329</v>
      </c>
      <c r="E22" s="26">
        <v>21.919</v>
      </c>
      <c r="F22" s="26">
        <v>2.592</v>
      </c>
      <c r="G22" s="26">
        <v>47.966</v>
      </c>
      <c r="H22" s="26">
        <v>8.818</v>
      </c>
      <c r="I22" s="26">
        <v>0.8</v>
      </c>
      <c r="J22" s="26">
        <v>0.506</v>
      </c>
      <c r="K22" s="26" t="s">
        <v>47</v>
      </c>
      <c r="L22" s="26">
        <v>0.58</v>
      </c>
      <c r="M22" s="26">
        <v>2.775</v>
      </c>
      <c r="N22" s="26">
        <v>1.392</v>
      </c>
      <c r="O22" s="403">
        <f t="shared" si="0"/>
        <v>88.695</v>
      </c>
      <c r="P22" s="387">
        <f t="shared" si="1"/>
        <v>0.051948051948051965</v>
      </c>
    </row>
    <row r="23" spans="2:16" ht="15" customHeight="1">
      <c r="B23" s="97">
        <v>2008</v>
      </c>
      <c r="C23" s="405">
        <v>1.079</v>
      </c>
      <c r="D23" s="406">
        <v>0.253</v>
      </c>
      <c r="E23" s="406">
        <v>23.333</v>
      </c>
      <c r="F23" s="406">
        <v>5.483</v>
      </c>
      <c r="G23" s="406">
        <v>52.564</v>
      </c>
      <c r="H23" s="406">
        <v>8.878</v>
      </c>
      <c r="I23" s="406">
        <v>0.867</v>
      </c>
      <c r="J23" s="406">
        <v>0.525</v>
      </c>
      <c r="K23" s="406">
        <v>0.014</v>
      </c>
      <c r="L23" s="406">
        <v>0.622</v>
      </c>
      <c r="M23" s="406">
        <v>2.992</v>
      </c>
      <c r="N23" s="406">
        <v>0.993</v>
      </c>
      <c r="O23" s="407">
        <f t="shared" si="0"/>
        <v>97.60300000000001</v>
      </c>
      <c r="P23" s="388">
        <f t="shared" si="1"/>
        <v>0.10043407181915565</v>
      </c>
    </row>
    <row r="24" spans="2:26" ht="15" customHeight="1">
      <c r="B24" s="11" t="s">
        <v>108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1"/>
      <c r="Q24" s="3"/>
      <c r="R24" s="3"/>
      <c r="S24" s="3"/>
      <c r="T24" s="3"/>
      <c r="U24" s="3"/>
      <c r="W24" s="3"/>
      <c r="X24" s="3"/>
      <c r="Y24" s="3"/>
      <c r="Z24" s="3"/>
    </row>
    <row r="25" spans="2:26" ht="25.5" customHeight="1">
      <c r="B25" s="436" t="s">
        <v>112</v>
      </c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1"/>
      <c r="Q25" s="3"/>
      <c r="R25" s="3"/>
      <c r="S25" s="3"/>
      <c r="T25" s="3"/>
      <c r="U25" s="3"/>
      <c r="W25" s="3"/>
      <c r="X25" s="3"/>
      <c r="Y25" s="3"/>
      <c r="Z25" s="3"/>
    </row>
    <row r="26" spans="2:26" ht="30" customHeight="1">
      <c r="B26" s="73"/>
      <c r="C26" s="38"/>
      <c r="D26" s="38"/>
      <c r="E26" s="38"/>
      <c r="F26" s="38"/>
      <c r="G26" s="38"/>
      <c r="H26" s="38"/>
      <c r="I26" s="72"/>
      <c r="J26" s="72"/>
      <c r="K26" s="72"/>
      <c r="L26" s="38"/>
      <c r="M26" s="72"/>
      <c r="N26" s="38"/>
      <c r="O26" s="74"/>
      <c r="P26" s="1"/>
      <c r="Q26" s="3"/>
      <c r="R26" s="3"/>
      <c r="S26" s="3"/>
      <c r="T26" s="3"/>
      <c r="U26" s="3"/>
      <c r="W26" s="3"/>
      <c r="X26" s="3"/>
      <c r="Y26" s="3"/>
      <c r="Z26" s="3"/>
    </row>
    <row r="27" spans="2:26" ht="15" customHeight="1">
      <c r="B27" s="431" t="s">
        <v>64</v>
      </c>
      <c r="C27" s="431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1"/>
      <c r="Q27" s="3"/>
      <c r="R27" s="3"/>
      <c r="S27" s="3"/>
      <c r="T27" s="3"/>
      <c r="U27" s="3"/>
      <c r="W27" s="3"/>
      <c r="X27" s="3"/>
      <c r="Y27" s="3"/>
      <c r="Z27" s="3"/>
    </row>
    <row r="28" spans="2:26" ht="15" customHeight="1">
      <c r="B28" s="434" t="s">
        <v>46</v>
      </c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1"/>
      <c r="Q28" s="3"/>
      <c r="R28" s="3"/>
      <c r="S28" s="3"/>
      <c r="T28" s="3"/>
      <c r="U28" s="3"/>
      <c r="W28" s="3"/>
      <c r="X28" s="3"/>
      <c r="Y28" s="3"/>
      <c r="Z28" s="3"/>
    </row>
    <row r="29" spans="2:26" ht="24.75" customHeight="1">
      <c r="B29" s="73"/>
      <c r="C29" s="93" t="s">
        <v>33</v>
      </c>
      <c r="D29" s="93" t="s">
        <v>17</v>
      </c>
      <c r="E29" s="93" t="s">
        <v>34</v>
      </c>
      <c r="F29" s="94" t="s">
        <v>35</v>
      </c>
      <c r="G29" s="93" t="s">
        <v>36</v>
      </c>
      <c r="H29" s="93" t="s">
        <v>38</v>
      </c>
      <c r="I29" s="93" t="s">
        <v>30</v>
      </c>
      <c r="J29" s="93" t="s">
        <v>41</v>
      </c>
      <c r="K29" s="93" t="s">
        <v>26</v>
      </c>
      <c r="L29" s="93" t="s">
        <v>42</v>
      </c>
      <c r="M29" s="93" t="s">
        <v>43</v>
      </c>
      <c r="N29" s="389" t="s">
        <v>31</v>
      </c>
      <c r="O29" s="93" t="s">
        <v>79</v>
      </c>
      <c r="P29" s="148"/>
      <c r="Q29" s="3"/>
      <c r="R29" s="3"/>
      <c r="S29" s="3"/>
      <c r="T29" s="3"/>
      <c r="U29" s="3"/>
      <c r="W29" s="3"/>
      <c r="X29" s="3"/>
      <c r="Y29" s="3"/>
      <c r="Z29" s="3"/>
    </row>
    <row r="30" spans="2:26" ht="15" customHeight="1">
      <c r="B30" s="95">
        <v>2000</v>
      </c>
      <c r="C30" s="390">
        <v>11.184380656839927</v>
      </c>
      <c r="D30" s="390"/>
      <c r="E30" s="390">
        <v>18.467190069492336</v>
      </c>
      <c r="F30" s="390">
        <v>9.640587768069897</v>
      </c>
      <c r="G30" s="390">
        <v>49.73377608564967</v>
      </c>
      <c r="H30" s="390">
        <v>10.259824094246753</v>
      </c>
      <c r="I30" s="390">
        <v>0.7704895677076231</v>
      </c>
      <c r="J30" s="390"/>
      <c r="K30" s="390"/>
      <c r="L30" s="390">
        <v>2.0851688693098387</v>
      </c>
      <c r="M30" s="390">
        <v>24.83319179910227</v>
      </c>
      <c r="N30" s="391"/>
      <c r="O30" s="392">
        <v>15.860457324779254</v>
      </c>
      <c r="P30" s="1"/>
      <c r="Q30" s="3"/>
      <c r="R30" s="3"/>
      <c r="S30" s="3"/>
      <c r="T30" s="3"/>
      <c r="U30" s="3"/>
      <c r="W30" s="3"/>
      <c r="X30" s="3"/>
      <c r="Y30" s="3"/>
      <c r="Z30" s="3"/>
    </row>
    <row r="31" spans="2:26" ht="15" customHeight="1">
      <c r="B31" s="96">
        <v>2001</v>
      </c>
      <c r="C31" s="390">
        <v>11.059965165464046</v>
      </c>
      <c r="D31" s="390"/>
      <c r="E31" s="390">
        <v>20.480766692187874</v>
      </c>
      <c r="F31" s="390">
        <v>9.971674108214508</v>
      </c>
      <c r="G31" s="390">
        <v>52.310360259565904</v>
      </c>
      <c r="H31" s="390">
        <v>13.505471683041776</v>
      </c>
      <c r="I31" s="390">
        <v>1.3271261812117845</v>
      </c>
      <c r="J31" s="390"/>
      <c r="K31" s="390"/>
      <c r="L31" s="390">
        <v>1.8281535648994516</v>
      </c>
      <c r="M31" s="390">
        <v>25.503893724232707</v>
      </c>
      <c r="N31" s="393"/>
      <c r="O31" s="394">
        <v>17.472263171227464</v>
      </c>
      <c r="P31" s="1"/>
      <c r="Q31" s="3"/>
      <c r="R31" s="3"/>
      <c r="S31" s="3"/>
      <c r="T31" s="3"/>
      <c r="U31" s="3"/>
      <c r="W31" s="3"/>
      <c r="X31" s="3"/>
      <c r="Y31" s="3"/>
      <c r="Z31" s="3"/>
    </row>
    <row r="32" spans="2:26" ht="15" customHeight="1">
      <c r="B32" s="96">
        <v>2002</v>
      </c>
      <c r="C32" s="390">
        <v>11.004842615012107</v>
      </c>
      <c r="D32" s="390"/>
      <c r="E32" s="390">
        <v>21.54082943842754</v>
      </c>
      <c r="F32" s="390">
        <v>10.282400641176748</v>
      </c>
      <c r="G32" s="390">
        <v>54.20077787146082</v>
      </c>
      <c r="H32" s="390">
        <v>14.3558331981178</v>
      </c>
      <c r="I32" s="390">
        <v>1.406774916013438</v>
      </c>
      <c r="J32" s="390"/>
      <c r="K32" s="390"/>
      <c r="L32" s="390">
        <v>4.06871609403255</v>
      </c>
      <c r="M32" s="390">
        <v>26.93261212530989</v>
      </c>
      <c r="N32" s="393"/>
      <c r="O32" s="394">
        <v>18.60244371635821</v>
      </c>
      <c r="P32" s="1"/>
      <c r="Q32" s="3"/>
      <c r="R32" s="3"/>
      <c r="S32" s="3"/>
      <c r="T32" s="3"/>
      <c r="U32" s="3"/>
      <c r="W32" s="3"/>
      <c r="X32" s="3"/>
      <c r="Y32" s="3"/>
      <c r="Z32" s="3"/>
    </row>
    <row r="33" spans="2:26" ht="15" customHeight="1">
      <c r="B33" s="96">
        <v>2003</v>
      </c>
      <c r="C33" s="390">
        <v>10.623109497882636</v>
      </c>
      <c r="D33" s="390"/>
      <c r="E33" s="390">
        <v>24.486274949854824</v>
      </c>
      <c r="F33" s="390">
        <v>9.594357930610121</v>
      </c>
      <c r="G33" s="390">
        <v>55.23031224287727</v>
      </c>
      <c r="H33" s="390">
        <v>15.259666919933466</v>
      </c>
      <c r="I33" s="390">
        <v>4.7949162333911035</v>
      </c>
      <c r="J33" s="390"/>
      <c r="K33" s="390"/>
      <c r="L33" s="390">
        <v>5.991611743559017</v>
      </c>
      <c r="M33" s="390">
        <v>27.167760923703874</v>
      </c>
      <c r="N33" s="393"/>
      <c r="O33" s="394">
        <v>19.525718336894148</v>
      </c>
      <c r="P33" s="1"/>
      <c r="Q33" s="3"/>
      <c r="R33" s="3"/>
      <c r="S33" s="3"/>
      <c r="T33" s="3"/>
      <c r="U33" s="3"/>
      <c r="W33" s="3"/>
      <c r="X33" s="3"/>
      <c r="Y33" s="3"/>
      <c r="Z33" s="3"/>
    </row>
    <row r="34" spans="2:26" ht="15" customHeight="1">
      <c r="B34" s="96">
        <v>2004</v>
      </c>
      <c r="C34" s="390">
        <v>10.834485938220379</v>
      </c>
      <c r="D34" s="390">
        <v>0.015197568389057751</v>
      </c>
      <c r="E34" s="390">
        <v>27.01652357261965</v>
      </c>
      <c r="F34" s="390">
        <v>10.227607181399</v>
      </c>
      <c r="G34" s="390">
        <v>55.7657888008182</v>
      </c>
      <c r="H34" s="390">
        <v>16.09039043307007</v>
      </c>
      <c r="I34" s="390">
        <v>4.528223861051761</v>
      </c>
      <c r="J34" s="390">
        <v>11.806119685892229</v>
      </c>
      <c r="K34" s="390"/>
      <c r="L34" s="390">
        <v>4.832935560859188</v>
      </c>
      <c r="M34" s="390">
        <v>27.974127974127978</v>
      </c>
      <c r="N34" s="393">
        <v>1.0150410630248223</v>
      </c>
      <c r="O34" s="394">
        <v>20.69263643515739</v>
      </c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5" customHeight="1">
      <c r="B35" s="96">
        <v>2005</v>
      </c>
      <c r="C35" s="390">
        <v>10.73224043715847</v>
      </c>
      <c r="D35" s="390">
        <v>0.08999550022498876</v>
      </c>
      <c r="E35" s="390">
        <v>27.82403330397887</v>
      </c>
      <c r="F35" s="390">
        <v>10.747317795042544</v>
      </c>
      <c r="G35" s="390">
        <v>56.39899049337675</v>
      </c>
      <c r="H35" s="390">
        <v>16.940756885278386</v>
      </c>
      <c r="I35" s="390">
        <v>4.53375569194219</v>
      </c>
      <c r="J35" s="390">
        <v>12.864268836965081</v>
      </c>
      <c r="K35" s="390"/>
      <c r="L35" s="390">
        <v>8.941920644048304</v>
      </c>
      <c r="M35" s="390">
        <v>26.07430617726052</v>
      </c>
      <c r="N35" s="393">
        <v>1.0131712259371835</v>
      </c>
      <c r="O35" s="394">
        <v>21.25191400990617</v>
      </c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5" customHeight="1">
      <c r="B36" s="96">
        <v>2006</v>
      </c>
      <c r="C36" s="390">
        <v>10.40907671489539</v>
      </c>
      <c r="D36" s="390">
        <v>2.138110372724646</v>
      </c>
      <c r="E36" s="390">
        <v>27.8074110252818</v>
      </c>
      <c r="F36" s="390">
        <v>12.20085953404207</v>
      </c>
      <c r="G36" s="390">
        <v>56.92583003350594</v>
      </c>
      <c r="H36" s="390">
        <v>17.511937277711187</v>
      </c>
      <c r="I36" s="390">
        <v>4.613254452766064</v>
      </c>
      <c r="J36" s="390">
        <v>13.106295149638802</v>
      </c>
      <c r="K36" s="390"/>
      <c r="L36" s="390">
        <v>12.288135593220339</v>
      </c>
      <c r="M36" s="390">
        <v>25.891650202765938</v>
      </c>
      <c r="N36" s="393">
        <v>1.9218912770797458</v>
      </c>
      <c r="O36" s="394">
        <v>21.681556292981902</v>
      </c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5" customHeight="1">
      <c r="B37" s="96">
        <v>2007</v>
      </c>
      <c r="C37" s="390">
        <v>10.249697946033024</v>
      </c>
      <c r="D37" s="390">
        <v>4.76949840533488</v>
      </c>
      <c r="E37" s="390">
        <v>27.711193709069764</v>
      </c>
      <c r="F37" s="390">
        <v>11.85890103856888</v>
      </c>
      <c r="G37" s="390">
        <v>59.72680521485762</v>
      </c>
      <c r="H37" s="390">
        <v>17.749954709233275</v>
      </c>
      <c r="I37" s="390">
        <v>4.900459418070445</v>
      </c>
      <c r="J37" s="390">
        <v>12.691246551291698</v>
      </c>
      <c r="K37" s="390"/>
      <c r="L37" s="390">
        <v>15.352038115404975</v>
      </c>
      <c r="M37" s="390">
        <v>27.044147743884615</v>
      </c>
      <c r="N37" s="393">
        <v>2.7745111717924695</v>
      </c>
      <c r="O37" s="394">
        <v>22.437494104766294</v>
      </c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ht="15" customHeight="1">
      <c r="B38" s="97">
        <v>2008</v>
      </c>
      <c r="C38" s="395">
        <v>10.372008074593866</v>
      </c>
      <c r="D38" s="395">
        <v>3.7187835315214675</v>
      </c>
      <c r="E38" s="395">
        <v>28.539452279315526</v>
      </c>
      <c r="F38" s="395">
        <v>22.87538070007092</v>
      </c>
      <c r="G38" s="395">
        <v>61.864017795143994</v>
      </c>
      <c r="H38" s="395">
        <v>17.829099307159353</v>
      </c>
      <c r="I38" s="395">
        <v>5.41875</v>
      </c>
      <c r="J38" s="395">
        <v>12.461428910515073</v>
      </c>
      <c r="K38" s="395">
        <v>1.6786570743405278</v>
      </c>
      <c r="L38" s="395">
        <v>15.350444225074039</v>
      </c>
      <c r="M38" s="395">
        <v>27.158028501406918</v>
      </c>
      <c r="N38" s="396">
        <v>1.8851447555766494</v>
      </c>
      <c r="O38" s="397">
        <v>23.852282856016814</v>
      </c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ht="15" customHeight="1">
      <c r="B39" s="430" t="s">
        <v>109</v>
      </c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/>
    <row r="41" ht="15.75" customHeight="1"/>
    <row r="42" ht="13.5" customHeight="1"/>
  </sheetData>
  <mergeCells count="7">
    <mergeCell ref="B39:O39"/>
    <mergeCell ref="B27:O27"/>
    <mergeCell ref="B1:C1"/>
    <mergeCell ref="B3:O3"/>
    <mergeCell ref="B28:O28"/>
    <mergeCell ref="B2:P2"/>
    <mergeCell ref="B25:O25"/>
  </mergeCells>
  <printOptions horizontalCentered="1"/>
  <pageMargins left="0.6692913385826772" right="0.4724409448818898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 </cp:lastModifiedBy>
  <cp:lastPrinted>2010-05-05T11:20:34Z</cp:lastPrinted>
  <dcterms:created xsi:type="dcterms:W3CDTF">2003-09-05T14:33:05Z</dcterms:created>
  <dcterms:modified xsi:type="dcterms:W3CDTF">2010-05-05T16:34:28Z</dcterms:modified>
  <cp:category/>
  <cp:version/>
  <cp:contentType/>
  <cp:contentStatus/>
</cp:coreProperties>
</file>