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" windowWidth="18765" windowHeight="11580" tabRatio="882" activeTab="8"/>
  </bookViews>
  <sheets>
    <sheet name="T2.5" sheetId="1" r:id="rId1"/>
    <sheet name="motorway" sheetId="2" r:id="rId2"/>
    <sheet name="length_road" sheetId="3" r:id="rId3"/>
    <sheet name="rail_length" sheetId="4" r:id="rId4"/>
    <sheet name="rail_hs" sheetId="5" r:id="rId5"/>
    <sheet name="rail_gauge" sheetId="6" r:id="rId6"/>
    <sheet name="airports" sheetId="7" r:id="rId7"/>
    <sheet name="length_iww" sheetId="8" r:id="rId8"/>
    <sheet name="length_oil" sheetId="9" r:id="rId9"/>
  </sheets>
  <definedNames>
    <definedName name="A" localSheetId="0">'T2.5'!$A$65497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6">'airports'!$B$1:$I$45</definedName>
    <definedName name="_xlnm.Print_Area" localSheetId="7">'length_iww'!$B$1:$S$46</definedName>
    <definedName name="_xlnm.Print_Area" localSheetId="8">'length_oil'!$B$1:$W$48</definedName>
    <definedName name="_xlnm.Print_Area" localSheetId="2">'length_road'!#REF!</definedName>
    <definedName name="_xlnm.Print_Area" localSheetId="1">'motorway'!$B$1:$W$49</definedName>
    <definedName name="_xlnm.Print_Area" localSheetId="5">'rail_gauge'!$B$1:$G$48</definedName>
    <definedName name="_xlnm.Print_Area" localSheetId="4">'rail_hs'!$B$1:$L$71</definedName>
    <definedName name="_xlnm.Print_Area" localSheetId="3">'rail_length'!$B$1:$AB$46</definedName>
    <definedName name="_xlnm.Print_Area" localSheetId="0">'T2.5'!$A$1:$E$23</definedName>
    <definedName name="Z_534C28F4_E90D_11D3_A4B3_0050041AE0D6_.wvu.PrintArea" localSheetId="2" hidden="1">'length_road'!#REF!</definedName>
  </definedNames>
  <calcPr fullCalcOnLoad="1"/>
</workbook>
</file>

<file path=xl/sharedStrings.xml><?xml version="1.0" encoding="utf-8"?>
<sst xmlns="http://schemas.openxmlformats.org/spreadsheetml/2006/main" count="1767" uniqueCount="169">
  <si>
    <t>Notes:</t>
  </si>
  <si>
    <t>MK</t>
  </si>
  <si>
    <t>km at end of year</t>
  </si>
  <si>
    <t>High-speed lines currently under construction</t>
  </si>
  <si>
    <t xml:space="preserve"> 50   Hz</t>
  </si>
  <si>
    <t>km</t>
  </si>
  <si>
    <t>LINE</t>
  </si>
  <si>
    <t>Length</t>
  </si>
  <si>
    <t xml:space="preserve">km </t>
  </si>
  <si>
    <t>Railways : Main Railway Gauge</t>
  </si>
  <si>
    <t>and Electric Current Used</t>
  </si>
  <si>
    <t>Track Gauge</t>
  </si>
  <si>
    <t>Electric current</t>
  </si>
  <si>
    <t>mm</t>
  </si>
  <si>
    <t>dc volts</t>
  </si>
  <si>
    <t>ac volts</t>
  </si>
  <si>
    <t>800-1200</t>
  </si>
  <si>
    <t>(contact rail)</t>
  </si>
  <si>
    <t>ES*</t>
  </si>
  <si>
    <t>750-850</t>
  </si>
  <si>
    <t>(N-IRL)</t>
  </si>
  <si>
    <t xml:space="preserve">Road : Length of Motorways  </t>
  </si>
  <si>
    <t>(at end of year)</t>
  </si>
  <si>
    <t>Road : Length of Road Network</t>
  </si>
  <si>
    <t xml:space="preserve"> Pipelines</t>
  </si>
  <si>
    <t>Length of oil pipelines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</si>
  <si>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</si>
  <si>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</si>
  <si>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</si>
  <si>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</si>
  <si>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</si>
  <si>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</si>
  <si>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</si>
  <si>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</si>
  <si>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</si>
  <si>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</si>
  <si>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</si>
  <si>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</si>
  <si>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</si>
  <si>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</si>
  <si>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</si>
  <si>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</si>
  <si>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</si>
  <si>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</si>
  <si>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</si>
  <si>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</si>
  <si>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</si>
  <si>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</si>
  <si>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</si>
  <si>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</si>
  <si>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</si>
  <si>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</si>
  <si>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</si>
  <si>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</si>
  <si>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</si>
  <si>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</si>
  <si>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</si>
  <si>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</si>
  <si>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</si>
  <si>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</si>
  <si>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</si>
  <si>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Railways : High Speed Rail Network</t>
  </si>
  <si>
    <t xml:space="preserve">- </t>
  </si>
  <si>
    <t>Air : Number of Airports</t>
  </si>
  <si>
    <t>more than 10 million</t>
  </si>
  <si>
    <t>5 to 10  million</t>
  </si>
  <si>
    <t>1 to 5 million</t>
  </si>
  <si>
    <t>100,000 to 500,000</t>
  </si>
  <si>
    <t>15,000 to 100,000</t>
  </si>
  <si>
    <t xml:space="preserve"> 16.7Hz</t>
  </si>
  <si>
    <t xml:space="preserve"> 50  HZ</t>
  </si>
  <si>
    <t>500,000 to 1 million</t>
  </si>
  <si>
    <t>Infrastructure</t>
  </si>
  <si>
    <t>Motorways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</si>
  <si>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</si>
  <si>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</si>
  <si>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</si>
  <si>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Inland Waterways : Length In Use  </t>
  </si>
  <si>
    <t xml:space="preserve">Navigable canals, rivers and lakes regularly used for transport </t>
  </si>
  <si>
    <t>Road: Length of Road Network</t>
  </si>
  <si>
    <t>Railways : Length of Lines in Use</t>
  </si>
  <si>
    <t>EU</t>
  </si>
  <si>
    <t>Length of lines</t>
  </si>
  <si>
    <t>Main or national roads</t>
  </si>
  <si>
    <t>Secondary or regional roads</t>
  </si>
  <si>
    <t>Other roads*</t>
  </si>
  <si>
    <t>Air: Number of Airports by Number of Passengers Carried</t>
  </si>
  <si>
    <t>of which: Electrified</t>
  </si>
  <si>
    <r>
      <t>Notes:</t>
    </r>
  </si>
  <si>
    <t xml:space="preserve">"Other roads" sometimes includes roads without a hard surface. </t>
  </si>
  <si>
    <t xml:space="preserve">*: the definition of road types varies from country to country, the data are therefore not comparable. </t>
  </si>
  <si>
    <t>Road: Length of Motorways</t>
  </si>
  <si>
    <t>Railways: Length of Lines in Use</t>
  </si>
  <si>
    <t>Railways: High Speed Rail Network</t>
  </si>
  <si>
    <t>Railways: Main Railway Gauge and Electric Current Used</t>
  </si>
  <si>
    <t xml:space="preserve">Inland Waterways: Length in Use </t>
  </si>
  <si>
    <t>Pipelines: Length of Oil Pipelines</t>
  </si>
  <si>
    <t>Start of operation</t>
  </si>
  <si>
    <r>
      <t>UK</t>
    </r>
    <r>
      <rPr>
        <sz val="8"/>
        <rFont val="Arial"/>
        <family val="2"/>
      </rPr>
      <t>: (N-IRL): Northern Ireland</t>
    </r>
  </si>
  <si>
    <r>
      <t xml:space="preserve">*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>: new lines have a gauge of 1435 mm and an electric current of 25000 volts, 50Hz</t>
    </r>
  </si>
  <si>
    <r>
      <t>Notes</t>
    </r>
    <r>
      <rPr>
        <sz val="8"/>
        <rFont val="Arial"/>
        <family val="2"/>
      </rPr>
      <t xml:space="preserve">: 1435 mm = standard gauge 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</si>
  <si>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Union Internationale des Chemins de Fer, railway companies</t>
    </r>
  </si>
  <si>
    <t xml:space="preserve">-  </t>
  </si>
  <si>
    <t xml:space="preserve">  Vitoria - Bilbao - San Sebastian</t>
  </si>
  <si>
    <t xml:space="preserve">  Bobadilla - Granada</t>
  </si>
  <si>
    <t>Including oil pipelines under the sea.</t>
  </si>
  <si>
    <t>by number of passengers carried* per year</t>
  </si>
  <si>
    <r>
      <t>CY</t>
    </r>
    <r>
      <rPr>
        <sz val="8"/>
        <rFont val="Arial"/>
        <family val="2"/>
      </rPr>
      <t>: from 2006: without urban M-ways</t>
    </r>
  </si>
  <si>
    <r>
      <t>NL:</t>
    </r>
    <r>
      <rPr>
        <sz val="8"/>
        <rFont val="Arial"/>
        <family val="2"/>
      </rPr>
      <t xml:space="preserve"> all national roads ('Rijkswegen') with dual carriageways</t>
    </r>
  </si>
  <si>
    <r>
      <t>ES</t>
    </r>
    <r>
      <rPr>
        <sz val="8"/>
        <rFont val="Arial"/>
        <family val="2"/>
      </rPr>
      <t>: 'autopistas de peaje' and 'autovías y autopistas libres'</t>
    </r>
  </si>
  <si>
    <t>Directorate-General for Mobility and Transport</t>
  </si>
  <si>
    <t>Chapter 2.5  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</si>
  <si>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</si>
  <si>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</si>
  <si>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</si>
  <si>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</si>
  <si>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</si>
  <si>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</si>
  <si>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</si>
  <si>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</si>
  <si>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r>
      <t>Notes</t>
    </r>
    <r>
      <rPr>
        <sz val="8"/>
        <rFont val="Arial"/>
        <family val="2"/>
      </rPr>
      <t xml:space="preserve">: </t>
    </r>
  </si>
  <si>
    <t>TRANSPORT IN FIGURES</t>
  </si>
  <si>
    <t>Part 2  :  TRANSPORT</t>
  </si>
  <si>
    <r>
      <t>Note</t>
    </r>
    <r>
      <rPr>
        <sz val="8"/>
        <rFont val="Arial"/>
        <family val="2"/>
      </rPr>
      <t>: Length of lines or of sections of lines on which trains can go faster than 250 km/h at some point during the journey.</t>
    </r>
  </si>
  <si>
    <r>
      <t>Note</t>
    </r>
    <r>
      <rPr>
        <sz val="8"/>
        <rFont val="Arial"/>
        <family val="2"/>
      </rPr>
      <t>: The length indicated above is the length of the line under construction and not necessarily the distance between the places named.</t>
    </r>
  </si>
  <si>
    <t xml:space="preserve">  Counternement Nimes - Montpellier</t>
  </si>
  <si>
    <r>
      <t>Source</t>
    </r>
    <r>
      <rPr>
        <sz val="8"/>
        <rFont val="Arial"/>
        <family val="2"/>
      </rPr>
      <t xml:space="preserve">: Eurostat, national statistics, estimates </t>
    </r>
    <r>
      <rPr>
        <i/>
        <sz val="8"/>
        <rFont val="Arial"/>
        <family val="2"/>
      </rPr>
      <t>(in italics)</t>
    </r>
  </si>
  <si>
    <t xml:space="preserve">  LGV Bretagne - Pays de la Loire</t>
  </si>
  <si>
    <t xml:space="preserve">  LGV Sud Europe Atlantique</t>
  </si>
  <si>
    <t>ME</t>
  </si>
  <si>
    <t>RS</t>
  </si>
  <si>
    <t>AL</t>
  </si>
  <si>
    <t>EU-28</t>
  </si>
  <si>
    <t>EU-15</t>
  </si>
  <si>
    <t>EU-13</t>
  </si>
  <si>
    <r>
      <t>Source</t>
    </r>
    <r>
      <rPr>
        <sz val="8"/>
        <rFont val="Arial"/>
        <family val="2"/>
      </rPr>
      <t>: Eurostat, International Road Federation, United Nations Economic Commission for Europe, ASECAP statistical bulletin, national statistics,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 xml:space="preserve">) </t>
    </r>
  </si>
  <si>
    <r>
      <t>Source</t>
    </r>
    <r>
      <rPr>
        <sz val="8"/>
        <rFont val="Arial"/>
        <family val="2"/>
      </rPr>
      <t xml:space="preserve">:  Eurostat, International Road Federation, national statistics, estimates </t>
    </r>
    <r>
      <rPr>
        <i/>
        <sz val="8"/>
        <rFont val="Arial"/>
        <family val="2"/>
      </rPr>
      <t>(in italics</t>
    </r>
    <r>
      <rPr>
        <sz val="8"/>
        <rFont val="Arial"/>
        <family val="2"/>
      </rPr>
      <t>)</t>
    </r>
  </si>
  <si>
    <r>
      <t>UK:</t>
    </r>
    <r>
      <rPr>
        <sz val="8"/>
        <rFont val="Arial"/>
        <family val="2"/>
      </rPr>
      <t xml:space="preserve"> data refers to the 1st of April of the next year.</t>
    </r>
  </si>
  <si>
    <t xml:space="preserve">  Nürnberg - Ebensfeld</t>
  </si>
  <si>
    <t xml:space="preserve">  Ebensfeld - Erfurt</t>
  </si>
  <si>
    <t xml:space="preserve">  Gloggnitz - Mürzzuschlag (Sermmering-Basistunnel)</t>
  </si>
  <si>
    <t xml:space="preserve">  Graz-Klagenfurt (Koralmtunnel)</t>
  </si>
  <si>
    <t xml:space="preserve">  Brennerachse</t>
  </si>
  <si>
    <t xml:space="preserve">  Offenburg - Riegel (Basel)</t>
  </si>
  <si>
    <t xml:space="preserve">  Stuttgart - Wendlingen</t>
  </si>
  <si>
    <t xml:space="preserve">  Buggingen - Katzenberg tunnel (Basel)</t>
  </si>
  <si>
    <t xml:space="preserve">  Wendlingen - Ulm</t>
  </si>
  <si>
    <t xml:space="preserve">  Tunnel Rastatt </t>
  </si>
  <si>
    <t xml:space="preserve">  Genoa - Milan (Tortona)</t>
  </si>
  <si>
    <r>
      <t>Source</t>
    </r>
    <r>
      <rPr>
        <sz val="8"/>
        <rFont val="Arial"/>
        <family val="2"/>
      </rPr>
      <t>: Eurostat, Airports Council International Europe, national sources</t>
    </r>
  </si>
  <si>
    <t xml:space="preserve">Please note that for some countries the values refer only to the main infrastructure managers which are members of the UIC. </t>
  </si>
  <si>
    <t xml:space="preserve">  Ybbs - Amstetten</t>
  </si>
  <si>
    <t xml:space="preserve">  Copenhagen - Ringsted</t>
  </si>
  <si>
    <r>
      <t xml:space="preserve">km at the end of </t>
    </r>
    <r>
      <rPr>
        <b/>
        <sz val="10"/>
        <rFont val="Arial"/>
        <family val="2"/>
      </rPr>
      <t>2015</t>
    </r>
  </si>
  <si>
    <r>
      <t>BE</t>
    </r>
    <r>
      <rPr>
        <sz val="8"/>
        <rFont val="Arial"/>
        <family val="2"/>
      </rPr>
      <t xml:space="preserve"> end of 2009 </t>
    </r>
    <r>
      <rPr>
        <b/>
        <sz val="8"/>
        <rFont val="Arial"/>
        <family val="2"/>
      </rPr>
      <t xml:space="preserve">EL </t>
    </r>
    <r>
      <rPr>
        <sz val="8"/>
        <rFont val="Arial"/>
        <family val="2"/>
      </rPr>
      <t xml:space="preserve">end of 2010 </t>
    </r>
    <r>
      <rPr>
        <b/>
        <sz val="8"/>
        <rFont val="Arial"/>
        <family val="2"/>
      </rPr>
      <t>IT, LV</t>
    </r>
    <r>
      <rPr>
        <sz val="8"/>
        <rFont val="Arial"/>
        <family val="2"/>
      </rPr>
      <t xml:space="preserve"> end of 2014 </t>
    </r>
    <r>
      <rPr>
        <b/>
        <sz val="8"/>
        <rFont val="Arial"/>
        <family val="2"/>
      </rPr>
      <t>LU</t>
    </r>
    <r>
      <rPr>
        <sz val="8"/>
        <rFont val="Arial"/>
        <family val="2"/>
      </rPr>
      <t xml:space="preserve"> 23rd of September 2015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 xml:space="preserve"> 1st of April 2015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 end of 2011 </t>
    </r>
  </si>
  <si>
    <r>
      <t>Source</t>
    </r>
    <r>
      <rPr>
        <sz val="8"/>
        <rFont val="Arial"/>
        <family val="2"/>
      </rPr>
      <t>: Union Internationale des Chemins de Fer, IRG-Rail annual reports (</t>
    </r>
    <r>
      <rPr>
        <b/>
        <sz val="8"/>
        <rFont val="Arial"/>
        <family val="2"/>
      </rPr>
      <t>BE, DE, FR, UK, NO</t>
    </r>
    <r>
      <rPr>
        <sz val="8"/>
        <rFont val="Arial"/>
        <family val="2"/>
      </rPr>
      <t>), national statistics, Eurostat, estimates (in italics).</t>
    </r>
  </si>
  <si>
    <r>
      <t>Source</t>
    </r>
    <r>
      <rPr>
        <sz val="8"/>
        <rFont val="Arial"/>
        <family val="2"/>
      </rPr>
      <t>: Union Internationale des Chemins de Fer (updated July  2017), high speed department; national sources</t>
    </r>
  </si>
  <si>
    <r>
      <t>Source</t>
    </r>
    <r>
      <rPr>
        <sz val="8"/>
        <rFont val="Arial"/>
        <family val="2"/>
      </rPr>
      <t>: Union Internationale des Chemins de Fer (updated July 2017), national sources</t>
    </r>
  </si>
  <si>
    <t xml:space="preserve"> León - Asturias Variante de Pajares</t>
  </si>
  <si>
    <t xml:space="preserve"> Monforte del Cid - Murcia</t>
  </si>
  <si>
    <t xml:space="preserve"> Plasencia -Cacere / Badajoz</t>
  </si>
  <si>
    <t xml:space="preserve"> Venta de Banos - Burgos</t>
  </si>
  <si>
    <t xml:space="preserve"> Zamora - Orense </t>
  </si>
  <si>
    <r>
      <t>Notes:</t>
    </r>
    <r>
      <rPr>
        <sz val="8"/>
        <rFont val="Arial"/>
        <family val="2"/>
      </rPr>
      <t xml:space="preserve"> *: 'Passengers carried' do not include direct transit passengers (i.e. transit passengers who stay on board and continue their flight with the same flight number). Airports are grouped according to </t>
    </r>
    <r>
      <rPr>
        <b/>
        <sz val="8"/>
        <rFont val="Arial"/>
        <family val="2"/>
      </rPr>
      <t>2015</t>
    </r>
    <r>
      <rPr>
        <sz val="8"/>
        <rFont val="Arial"/>
        <family val="2"/>
      </rPr>
      <t xml:space="preserve"> passenger volumes. In this table, blank means none.</t>
    </r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</si>
  <si>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 = 2 300, 1980 = 2 302, 1990 = 2 319 </t>
    </r>
  </si>
  <si>
    <r>
      <t>DE:</t>
    </r>
    <r>
      <rPr>
        <sz val="8"/>
        <rFont val="Arial"/>
        <family val="2"/>
      </rPr>
      <t xml:space="preserve"> Crude oil pipelines only;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 : 1970 = </t>
    </r>
    <r>
      <rPr>
        <i/>
        <sz val="8"/>
        <rFont val="Arial"/>
        <family val="2"/>
      </rPr>
      <t>1 300</t>
    </r>
    <r>
      <rPr>
        <sz val="8"/>
        <rFont val="Arial"/>
        <family val="2"/>
      </rPr>
      <t>, 1980 = 1 301, 1990 = 1 323 km</t>
    </r>
  </si>
  <si>
    <r>
      <t>CS:</t>
    </r>
    <r>
      <rPr>
        <sz val="8"/>
        <rFont val="Arial"/>
        <family val="2"/>
      </rPr>
      <t xml:space="preserve"> 1970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1980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1991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1992 = </t>
    </r>
    <r>
      <rPr>
        <i/>
        <sz val="8"/>
        <rFont val="Arial"/>
        <family val="2"/>
      </rPr>
      <t>1 083 km</t>
    </r>
  </si>
  <si>
    <r>
      <t xml:space="preserve">DE: </t>
    </r>
    <r>
      <rPr>
        <sz val="8"/>
        <rFont val="Arial"/>
        <family val="2"/>
      </rPr>
      <t xml:space="preserve">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1970=14 250,  1980=14 248,  1990=14 031 </t>
    </r>
  </si>
  <si>
    <r>
      <t xml:space="preserve">CS: </t>
    </r>
    <r>
      <rPr>
        <sz val="8"/>
        <rFont val="Arial"/>
        <family val="2"/>
      </rPr>
      <t>1970: 133 08, 1980: 13 131, 1990: 13 111   (these are included in EU-28 and EU-13 totals)</t>
    </r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</si>
</sst>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\ ##0"/>
    <numFmt numFmtId="166" formatCode="0.0\ \ \ "/>
    <numFmt numFmtId="167" formatCode="#,##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dashed"/>
      <top style="thin"/>
      <bottom style="hair"/>
    </border>
    <border>
      <left style="dashed"/>
      <right style="hair"/>
      <top style="thin"/>
      <bottom style="hair"/>
    </border>
    <border>
      <left style="thin"/>
      <right style="dashed"/>
      <top/>
      <bottom style="hair"/>
    </border>
    <border>
      <left style="dashed"/>
      <right style="hair"/>
      <top/>
      <bottom style="hair"/>
    </border>
    <border>
      <left style="thin"/>
      <right style="dashed"/>
      <top style="hair"/>
      <bottom style="hair"/>
    </border>
    <border>
      <left style="dashed"/>
      <right style="hair"/>
      <top style="hair"/>
      <bottom style="hair"/>
    </border>
    <border>
      <left style="thin"/>
      <right style="dashed"/>
      <top/>
      <bottom/>
    </border>
    <border>
      <left style="dashed"/>
      <right style="hair"/>
      <top/>
      <bottom/>
    </border>
    <border>
      <left style="thin"/>
      <right style="dashed"/>
      <top/>
      <bottom style="thin"/>
    </border>
    <border>
      <left style="dashed"/>
      <right style="hair"/>
      <top/>
      <bottom style="thin"/>
    </border>
    <border>
      <left style="thin"/>
      <right style="thin"/>
      <top style="thin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ck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dashed"/>
      <top style="hair"/>
      <bottom/>
    </border>
    <border>
      <left style="dashed"/>
      <right style="hair"/>
      <top style="hair"/>
      <bottom/>
    </border>
    <border>
      <left style="hair"/>
      <right style="thin"/>
      <top style="hair"/>
      <bottom/>
    </border>
    <border>
      <left style="thick"/>
      <right/>
      <top/>
      <bottom/>
    </border>
    <border>
      <left style="medium"/>
      <right/>
      <top/>
      <bottom/>
    </border>
    <border>
      <left style="thick"/>
      <right/>
      <top style="thin"/>
      <bottom/>
    </border>
    <border>
      <left style="hair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11" fillId="33" borderId="0" applyNumberFormat="0" applyBorder="0">
      <alignment/>
      <protection locked="0"/>
    </xf>
    <xf numFmtId="0" fontId="54" fillId="0" borderId="9" applyNumberFormat="0" applyFill="0" applyAlignment="0" applyProtection="0"/>
    <xf numFmtId="0" fontId="12" fillId="34" borderId="0" applyNumberFormat="0" applyBorder="0">
      <alignment/>
      <protection locked="0"/>
    </xf>
    <xf numFmtId="0" fontId="55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 quotePrefix="1">
      <alignment horizontal="right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right" vertical="top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 quotePrefix="1">
      <alignment horizontal="left" vertical="top"/>
    </xf>
    <xf numFmtId="0" fontId="15" fillId="0" borderId="0" xfId="0" applyFont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 quotePrefix="1">
      <alignment horizontal="right" vertical="center"/>
    </xf>
    <xf numFmtId="165" fontId="3" fillId="0" borderId="0" xfId="0" applyNumberFormat="1" applyFont="1" applyFill="1" applyBorder="1" applyAlignment="1" quotePrefix="1">
      <alignment horizontal="right" vertical="center"/>
    </xf>
    <xf numFmtId="1" fontId="4" fillId="35" borderId="18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65" fontId="4" fillId="36" borderId="21" xfId="0" applyNumberFormat="1" applyFont="1" applyFill="1" applyBorder="1" applyAlignment="1">
      <alignment horizontal="right" vertical="center"/>
    </xf>
    <xf numFmtId="165" fontId="4" fillId="36" borderId="16" xfId="0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center" vertical="center"/>
    </xf>
    <xf numFmtId="165" fontId="4" fillId="36" borderId="13" xfId="0" applyNumberFormat="1" applyFont="1" applyFill="1" applyBorder="1" applyAlignment="1">
      <alignment horizontal="right" vertical="center"/>
    </xf>
    <xf numFmtId="165" fontId="4" fillId="36" borderId="0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165" fontId="4" fillId="36" borderId="17" xfId="0" applyNumberFormat="1" applyFont="1" applyFill="1" applyBorder="1" applyAlignment="1">
      <alignment horizontal="right" vertical="center"/>
    </xf>
    <xf numFmtId="165" fontId="4" fillId="36" borderId="14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13" fillId="35" borderId="22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13" fillId="35" borderId="23" xfId="0" applyFont="1" applyFill="1" applyBorder="1" applyAlignment="1">
      <alignment horizontal="center" vertical="top" wrapText="1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1" fontId="4" fillId="35" borderId="34" xfId="0" applyNumberFormat="1" applyFont="1" applyFill="1" applyBorder="1" applyAlignment="1">
      <alignment horizontal="center" vertical="center" wrapText="1"/>
    </xf>
    <xf numFmtId="1" fontId="4" fillId="35" borderId="35" xfId="0" applyNumberFormat="1" applyFont="1" applyFill="1" applyBorder="1" applyAlignment="1">
      <alignment horizontal="center" vertical="center" wrapText="1"/>
    </xf>
    <xf numFmtId="1" fontId="4" fillId="35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7" fontId="2" fillId="0" borderId="0" xfId="0" applyNumberFormat="1" applyFont="1" applyBorder="1" applyAlignment="1" quotePrefix="1">
      <alignment horizontal="center" vertical="center" wrapText="1"/>
    </xf>
    <xf numFmtId="165" fontId="3" fillId="36" borderId="13" xfId="0" applyNumberFormat="1" applyFont="1" applyFill="1" applyBorder="1" applyAlignment="1">
      <alignment horizontal="right" vertical="center"/>
    </xf>
    <xf numFmtId="165" fontId="3" fillId="36" borderId="0" xfId="0" applyNumberFormat="1" applyFont="1" applyFill="1" applyBorder="1" applyAlignment="1">
      <alignment horizontal="right" vertical="center"/>
    </xf>
    <xf numFmtId="165" fontId="9" fillId="36" borderId="0" xfId="0" applyNumberFormat="1" applyFont="1" applyFill="1" applyBorder="1" applyAlignment="1">
      <alignment horizontal="right" vertical="center"/>
    </xf>
    <xf numFmtId="0" fontId="3" fillId="36" borderId="28" xfId="0" applyFont="1" applyFill="1" applyBorder="1" applyAlignment="1">
      <alignment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0" fontId="3" fillId="36" borderId="40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36" borderId="41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36" borderId="42" xfId="0" applyFont="1" applyFill="1" applyBorder="1" applyAlignment="1">
      <alignment horizontal="right" vertical="center"/>
    </xf>
    <xf numFmtId="0" fontId="3" fillId="0" borderId="41" xfId="0" applyFont="1" applyFill="1" applyBorder="1" applyAlignment="1" quotePrefix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0" borderId="48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 quotePrefix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7" fontId="3" fillId="36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9" fillId="36" borderId="0" xfId="0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7" fontId="3" fillId="0" borderId="13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Fill="1" applyBorder="1" applyAlignment="1" quotePrefix="1">
      <alignment horizontal="right" vertical="center"/>
    </xf>
    <xf numFmtId="167" fontId="3" fillId="0" borderId="33" xfId="0" applyNumberFormat="1" applyFont="1" applyFill="1" applyBorder="1" applyAlignment="1" quotePrefix="1">
      <alignment horizontal="right" vertical="center"/>
    </xf>
    <xf numFmtId="0" fontId="3" fillId="0" borderId="55" xfId="0" applyFont="1" applyFill="1" applyBorder="1" applyAlignment="1">
      <alignment vertical="center"/>
    </xf>
    <xf numFmtId="167" fontId="3" fillId="0" borderId="56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5" fontId="10" fillId="36" borderId="16" xfId="0" applyNumberFormat="1" applyFont="1" applyFill="1" applyBorder="1" applyAlignment="1">
      <alignment horizontal="right" vertical="center"/>
    </xf>
    <xf numFmtId="165" fontId="10" fillId="36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1" fontId="4" fillId="35" borderId="57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top"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167" fontId="3" fillId="0" borderId="16" xfId="0" applyNumberFormat="1" applyFont="1" applyFill="1" applyBorder="1" applyAlignment="1" quotePrefix="1">
      <alignment horizontal="right" vertical="center"/>
    </xf>
    <xf numFmtId="0" fontId="0" fillId="0" borderId="15" xfId="0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67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167" fontId="3" fillId="36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167" fontId="3" fillId="0" borderId="21" xfId="0" applyNumberFormat="1" applyFont="1" applyFill="1" applyBorder="1" applyAlignment="1" quotePrefix="1">
      <alignment horizontal="right" vertical="center"/>
    </xf>
    <xf numFmtId="167" fontId="3" fillId="0" borderId="16" xfId="0" applyNumberFormat="1" applyFont="1" applyBorder="1" applyAlignment="1">
      <alignment horizontal="right" vertical="center"/>
    </xf>
    <xf numFmtId="167" fontId="3" fillId="0" borderId="58" xfId="0" applyNumberFormat="1" applyFont="1" applyFill="1" applyBorder="1" applyAlignment="1" quotePrefix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3" fillId="0" borderId="58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167" fontId="3" fillId="37" borderId="22" xfId="0" applyNumberFormat="1" applyFont="1" applyFill="1" applyBorder="1" applyAlignment="1">
      <alignment vertical="center"/>
    </xf>
    <xf numFmtId="0" fontId="3" fillId="37" borderId="58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3" fillId="37" borderId="55" xfId="0" applyFont="1" applyFill="1" applyBorder="1" applyAlignment="1">
      <alignment vertical="center"/>
    </xf>
    <xf numFmtId="167" fontId="3" fillId="37" borderId="56" xfId="0" applyNumberFormat="1" applyFont="1" applyFill="1" applyBorder="1" applyAlignment="1">
      <alignment vertical="center"/>
    </xf>
    <xf numFmtId="0" fontId="3" fillId="37" borderId="33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/>
    </xf>
    <xf numFmtId="0" fontId="4" fillId="37" borderId="11" xfId="0" applyFont="1" applyFill="1" applyBorder="1" applyAlignment="1">
      <alignment horizontal="center" vertical="center"/>
    </xf>
    <xf numFmtId="3" fontId="0" fillId="0" borderId="0" xfId="0" applyNumberFormat="1" applyAlignment="1">
      <alignment wrapText="1"/>
    </xf>
    <xf numFmtId="164" fontId="4" fillId="36" borderId="1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36" borderId="0" xfId="0" applyNumberFormat="1" applyFont="1" applyFill="1" applyBorder="1" applyAlignment="1">
      <alignment horizontal="right" vertical="center"/>
    </xf>
    <xf numFmtId="164" fontId="3" fillId="36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38" borderId="21" xfId="0" applyFont="1" applyFill="1" applyBorder="1" applyAlignment="1">
      <alignment/>
    </xf>
    <xf numFmtId="0" fontId="4" fillId="38" borderId="16" xfId="0" applyFont="1" applyFill="1" applyBorder="1" applyAlignment="1">
      <alignment horizontal="center" wrapText="1"/>
    </xf>
    <xf numFmtId="0" fontId="4" fillId="38" borderId="58" xfId="0" applyFont="1" applyFill="1" applyBorder="1" applyAlignment="1">
      <alignment horizontal="center" wrapText="1"/>
    </xf>
    <xf numFmtId="0" fontId="4" fillId="38" borderId="17" xfId="0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165" fontId="3" fillId="36" borderId="3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3" fillId="36" borderId="0" xfId="0" applyNumberFormat="1" applyFont="1" applyFill="1" applyBorder="1" applyAlignment="1">
      <alignment horizontal="right" vertical="center"/>
    </xf>
    <xf numFmtId="0" fontId="39" fillId="0" borderId="0" xfId="0" applyFont="1" applyAlignment="1" applyProtection="1">
      <alignment horizontal="left"/>
      <protection locked="0"/>
    </xf>
    <xf numFmtId="165" fontId="9" fillId="0" borderId="33" xfId="0" applyNumberFormat="1" applyFont="1" applyFill="1" applyBorder="1" applyAlignment="1">
      <alignment horizontal="right" vertical="center"/>
    </xf>
    <xf numFmtId="165" fontId="3" fillId="37" borderId="13" xfId="0" applyNumberFormat="1" applyFont="1" applyFill="1" applyBorder="1" applyAlignment="1">
      <alignment horizontal="right" vertical="center"/>
    </xf>
    <xf numFmtId="165" fontId="3" fillId="37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167" fontId="3" fillId="37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7" fontId="3" fillId="0" borderId="59" xfId="0" applyNumberFormat="1" applyFont="1" applyFill="1" applyBorder="1" applyAlignment="1">
      <alignment horizontal="right" vertical="center"/>
    </xf>
    <xf numFmtId="165" fontId="3" fillId="37" borderId="0" xfId="0" applyNumberFormat="1" applyFont="1" applyFill="1" applyBorder="1" applyAlignment="1">
      <alignment horizontal="right" vertical="center"/>
    </xf>
    <xf numFmtId="165" fontId="3" fillId="37" borderId="33" xfId="0" applyNumberFormat="1" applyFont="1" applyFill="1" applyBorder="1" applyAlignment="1">
      <alignment horizontal="right" vertical="center"/>
    </xf>
    <xf numFmtId="0" fontId="4" fillId="37" borderId="12" xfId="0" applyFont="1" applyFill="1" applyBorder="1" applyAlignment="1">
      <alignment horizontal="center" vertical="center"/>
    </xf>
    <xf numFmtId="165" fontId="3" fillId="37" borderId="17" xfId="0" applyNumberFormat="1" applyFont="1" applyFill="1" applyBorder="1" applyAlignment="1">
      <alignment horizontal="right" vertical="center"/>
    </xf>
    <xf numFmtId="165" fontId="3" fillId="37" borderId="14" xfId="0" applyNumberFormat="1" applyFont="1" applyFill="1" applyBorder="1" applyAlignment="1">
      <alignment horizontal="right" vertical="center"/>
    </xf>
    <xf numFmtId="167" fontId="3" fillId="37" borderId="14" xfId="0" applyNumberFormat="1" applyFont="1" applyFill="1" applyBorder="1" applyAlignment="1">
      <alignment horizontal="right" vertical="center"/>
    </xf>
    <xf numFmtId="165" fontId="3" fillId="37" borderId="15" xfId="0" applyNumberFormat="1" applyFont="1" applyFill="1" applyBorder="1" applyAlignment="1">
      <alignment horizontal="right" vertical="center"/>
    </xf>
    <xf numFmtId="0" fontId="4" fillId="37" borderId="15" xfId="0" applyFont="1" applyFill="1" applyBorder="1" applyAlignment="1">
      <alignment horizontal="center" vertical="center"/>
    </xf>
    <xf numFmtId="164" fontId="3" fillId="37" borderId="14" xfId="0" applyNumberFormat="1" applyFont="1" applyFill="1" applyBorder="1" applyAlignment="1">
      <alignment vertical="center"/>
    </xf>
    <xf numFmtId="164" fontId="3" fillId="37" borderId="0" xfId="0" applyNumberFormat="1" applyFont="1" applyFill="1" applyBorder="1" applyAlignment="1">
      <alignment vertical="center"/>
    </xf>
    <xf numFmtId="0" fontId="4" fillId="37" borderId="37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right" vertical="center"/>
    </xf>
    <xf numFmtId="0" fontId="4" fillId="37" borderId="3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right" vertical="center"/>
    </xf>
    <xf numFmtId="0" fontId="3" fillId="37" borderId="32" xfId="0" applyFont="1" applyFill="1" applyBorder="1" applyAlignment="1" quotePrefix="1">
      <alignment horizontal="center" vertical="center"/>
    </xf>
    <xf numFmtId="0" fontId="3" fillId="37" borderId="48" xfId="0" applyFont="1" applyFill="1" applyBorder="1" applyAlignment="1" quotePrefix="1">
      <alignment horizontal="center" vertical="center"/>
    </xf>
    <xf numFmtId="0" fontId="3" fillId="37" borderId="49" xfId="0" applyFont="1" applyFill="1" applyBorder="1" applyAlignment="1" quotePrefix="1">
      <alignment horizontal="center" vertical="center"/>
    </xf>
    <xf numFmtId="0" fontId="3" fillId="37" borderId="41" xfId="0" applyFont="1" applyFill="1" applyBorder="1" applyAlignment="1" quotePrefix="1">
      <alignment horizontal="right" vertical="center"/>
    </xf>
    <xf numFmtId="0" fontId="4" fillId="37" borderId="60" xfId="0" applyFont="1" applyFill="1" applyBorder="1" applyAlignment="1">
      <alignment horizontal="center" vertical="center"/>
    </xf>
    <xf numFmtId="0" fontId="3" fillId="37" borderId="61" xfId="0" applyFont="1" applyFill="1" applyBorder="1" applyAlignment="1">
      <alignment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63" xfId="0" applyFont="1" applyFill="1" applyBorder="1" applyAlignment="1">
      <alignment/>
    </xf>
    <xf numFmtId="0" fontId="3" fillId="37" borderId="64" xfId="0" applyFont="1" applyFill="1" applyBorder="1" applyAlignment="1">
      <alignment/>
    </xf>
    <xf numFmtId="0" fontId="3" fillId="37" borderId="65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65" fontId="9" fillId="37" borderId="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/>
    </xf>
    <xf numFmtId="165" fontId="3" fillId="37" borderId="13" xfId="0" applyNumberFormat="1" applyFont="1" applyFill="1" applyBorder="1" applyAlignment="1" quotePrefix="1">
      <alignment horizontal="right" vertical="center"/>
    </xf>
    <xf numFmtId="165" fontId="3" fillId="37" borderId="0" xfId="0" applyNumberFormat="1" applyFont="1" applyFill="1" applyBorder="1" applyAlignment="1" quotePrefix="1">
      <alignment horizontal="right" vertical="center"/>
    </xf>
    <xf numFmtId="165" fontId="9" fillId="37" borderId="33" xfId="0" applyNumberFormat="1" applyFont="1" applyFill="1" applyBorder="1" applyAlignment="1">
      <alignment horizontal="right" vertical="center"/>
    </xf>
    <xf numFmtId="165" fontId="3" fillId="36" borderId="3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3" fillId="37" borderId="28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3" fillId="37" borderId="16" xfId="0" applyNumberFormat="1" applyFont="1" applyFill="1" applyBorder="1" applyAlignment="1" quotePrefix="1">
      <alignment horizontal="right" vertical="center"/>
    </xf>
    <xf numFmtId="165" fontId="9" fillId="0" borderId="21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58" xfId="0" applyNumberFormat="1" applyFont="1" applyFill="1" applyBorder="1" applyAlignment="1">
      <alignment horizontal="right" vertical="center"/>
    </xf>
    <xf numFmtId="165" fontId="3" fillId="36" borderId="13" xfId="0" applyNumberFormat="1" applyFont="1" applyFill="1" applyBorder="1" applyAlignment="1">
      <alignment horizontal="right" vertical="center"/>
    </xf>
    <xf numFmtId="165" fontId="3" fillId="36" borderId="0" xfId="0" applyNumberFormat="1" applyFont="1" applyFill="1" applyBorder="1" applyAlignment="1">
      <alignment vertical="center"/>
    </xf>
    <xf numFmtId="165" fontId="3" fillId="36" borderId="3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37" borderId="13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 quotePrefix="1">
      <alignment horizontal="right" vertical="center"/>
    </xf>
    <xf numFmtId="165" fontId="3" fillId="37" borderId="13" xfId="0" applyNumberFormat="1" applyFont="1" applyFill="1" applyBorder="1" applyAlignment="1" quotePrefix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33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vertical="center"/>
    </xf>
    <xf numFmtId="165" fontId="4" fillId="36" borderId="21" xfId="0" applyNumberFormat="1" applyFont="1" applyFill="1" applyBorder="1" applyAlignment="1">
      <alignment vertical="center"/>
    </xf>
    <xf numFmtId="165" fontId="4" fillId="36" borderId="16" xfId="0" applyNumberFormat="1" applyFont="1" applyFill="1" applyBorder="1" applyAlignment="1">
      <alignment vertical="center"/>
    </xf>
    <xf numFmtId="165" fontId="4" fillId="36" borderId="16" xfId="0" applyNumberFormat="1" applyFont="1" applyFill="1" applyBorder="1" applyAlignment="1">
      <alignment horizontal="right" vertical="center"/>
    </xf>
    <xf numFmtId="165" fontId="10" fillId="36" borderId="16" xfId="0" applyNumberFormat="1" applyFont="1" applyFill="1" applyBorder="1" applyAlignment="1">
      <alignment vertical="center"/>
    </xf>
    <xf numFmtId="165" fontId="4" fillId="36" borderId="13" xfId="0" applyNumberFormat="1" applyFont="1" applyFill="1" applyBorder="1" applyAlignment="1">
      <alignment vertical="center"/>
    </xf>
    <xf numFmtId="165" fontId="4" fillId="36" borderId="0" xfId="0" applyNumberFormat="1" applyFont="1" applyFill="1" applyBorder="1" applyAlignment="1">
      <alignment vertical="center"/>
    </xf>
    <xf numFmtId="165" fontId="4" fillId="36" borderId="0" xfId="0" applyNumberFormat="1" applyFont="1" applyFill="1" applyBorder="1" applyAlignment="1">
      <alignment horizontal="right" vertical="center"/>
    </xf>
    <xf numFmtId="165" fontId="10" fillId="36" borderId="0" xfId="0" applyNumberFormat="1" applyFont="1" applyFill="1" applyBorder="1" applyAlignment="1">
      <alignment vertical="center"/>
    </xf>
    <xf numFmtId="165" fontId="4" fillId="36" borderId="17" xfId="0" applyNumberFormat="1" applyFont="1" applyFill="1" applyBorder="1" applyAlignment="1">
      <alignment vertical="center"/>
    </xf>
    <xf numFmtId="165" fontId="4" fillId="36" borderId="14" xfId="0" applyNumberFormat="1" applyFont="1" applyFill="1" applyBorder="1" applyAlignment="1">
      <alignment vertical="center"/>
    </xf>
    <xf numFmtId="165" fontId="4" fillId="36" borderId="14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3" fillId="36" borderId="1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36" borderId="66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>
      <alignment vertical="center"/>
    </xf>
    <xf numFmtId="165" fontId="3" fillId="36" borderId="13" xfId="0" applyNumberFormat="1" applyFont="1" applyFill="1" applyBorder="1" applyAlignment="1" quotePrefix="1">
      <alignment horizontal="right" vertical="center"/>
    </xf>
    <xf numFmtId="165" fontId="3" fillId="36" borderId="0" xfId="0" applyNumberFormat="1" applyFont="1" applyFill="1" applyBorder="1" applyAlignment="1" quotePrefix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quotePrefix="1">
      <alignment horizontal="right" vertical="center"/>
    </xf>
    <xf numFmtId="165" fontId="3" fillId="0" borderId="13" xfId="0" applyNumberFormat="1" applyFont="1" applyBorder="1" applyAlignment="1" quotePrefix="1">
      <alignment horizontal="right" vertical="center"/>
    </xf>
    <xf numFmtId="165" fontId="3" fillId="0" borderId="0" xfId="0" applyNumberFormat="1" applyFont="1" applyBorder="1" applyAlignment="1" quotePrefix="1">
      <alignment horizontal="right" vertical="center"/>
    </xf>
    <xf numFmtId="165" fontId="3" fillId="0" borderId="0" xfId="0" applyNumberFormat="1" applyFont="1" applyFill="1" applyBorder="1" applyAlignment="1">
      <alignment horizontal="right"/>
    </xf>
    <xf numFmtId="165" fontId="3" fillId="37" borderId="13" xfId="0" applyNumberFormat="1" applyFont="1" applyFill="1" applyBorder="1" applyAlignment="1">
      <alignment vertical="center"/>
    </xf>
    <xf numFmtId="165" fontId="3" fillId="37" borderId="0" xfId="0" applyNumberFormat="1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horizontal="right" vertical="center"/>
    </xf>
    <xf numFmtId="165" fontId="9" fillId="0" borderId="16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5" fontId="3" fillId="37" borderId="0" xfId="0" applyNumberFormat="1" applyFont="1" applyFill="1" applyBorder="1" applyAlignment="1" quotePrefix="1">
      <alignment horizontal="right" vertical="center"/>
    </xf>
    <xf numFmtId="165" fontId="3" fillId="37" borderId="16" xfId="0" applyNumberFormat="1" applyFont="1" applyFill="1" applyBorder="1" applyAlignment="1" quotePrefix="1">
      <alignment horizontal="right" vertical="center"/>
    </xf>
    <xf numFmtId="165" fontId="3" fillId="37" borderId="21" xfId="0" applyNumberFormat="1" applyFont="1" applyFill="1" applyBorder="1" applyAlignment="1" quotePrefix="1">
      <alignment horizontal="right" vertical="center"/>
    </xf>
    <xf numFmtId="165" fontId="3" fillId="37" borderId="17" xfId="0" applyNumberFormat="1" applyFont="1" applyFill="1" applyBorder="1" applyAlignment="1">
      <alignment vertical="center"/>
    </xf>
    <xf numFmtId="165" fontId="3" fillId="37" borderId="14" xfId="0" applyNumberFormat="1" applyFont="1" applyFill="1" applyBorder="1" applyAlignment="1">
      <alignment vertical="center"/>
    </xf>
    <xf numFmtId="165" fontId="3" fillId="37" borderId="14" xfId="0" applyNumberFormat="1" applyFont="1" applyFill="1" applyBorder="1" applyAlignment="1">
      <alignment horizontal="right" vertical="center"/>
    </xf>
    <xf numFmtId="0" fontId="3" fillId="37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65" fontId="3" fillId="0" borderId="33" xfId="0" applyNumberFormat="1" applyFont="1" applyFill="1" applyBorder="1" applyAlignment="1" quotePrefix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 quotePrefix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 quotePrefix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4" fillId="36" borderId="21" xfId="0" applyNumberFormat="1" applyFont="1" applyFill="1" applyBorder="1" applyAlignment="1">
      <alignment horizontal="right" vertical="center"/>
    </xf>
    <xf numFmtId="165" fontId="4" fillId="36" borderId="13" xfId="0" applyNumberFormat="1" applyFont="1" applyFill="1" applyBorder="1" applyAlignment="1">
      <alignment horizontal="right" vertical="center"/>
    </xf>
    <xf numFmtId="165" fontId="10" fillId="36" borderId="14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>
      <alignment horizontal="right" vertical="center"/>
    </xf>
    <xf numFmtId="165" fontId="3" fillId="37" borderId="33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165" fontId="3" fillId="37" borderId="17" xfId="0" applyNumberFormat="1" applyFont="1" applyFill="1" applyBorder="1" applyAlignment="1">
      <alignment horizontal="right" vertical="center"/>
    </xf>
    <xf numFmtId="165" fontId="4" fillId="36" borderId="10" xfId="0" applyNumberFormat="1" applyFont="1" applyFill="1" applyBorder="1" applyAlignment="1">
      <alignment horizontal="right" vertical="center"/>
    </xf>
    <xf numFmtId="165" fontId="10" fillId="36" borderId="11" xfId="0" applyNumberFormat="1" applyFont="1" applyFill="1" applyBorder="1" applyAlignment="1">
      <alignment horizontal="right" vertical="center"/>
    </xf>
    <xf numFmtId="165" fontId="4" fillId="36" borderId="11" xfId="0" applyNumberFormat="1" applyFont="1" applyFill="1" applyBorder="1" applyAlignment="1">
      <alignment horizontal="right" vertical="center"/>
    </xf>
    <xf numFmtId="165" fontId="4" fillId="36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3" fillId="36" borderId="11" xfId="0" applyNumberFormat="1" applyFont="1" applyFill="1" applyBorder="1" applyAlignment="1">
      <alignment horizontal="right" vertical="center"/>
    </xf>
    <xf numFmtId="165" fontId="3" fillId="36" borderId="11" xfId="0" applyNumberFormat="1" applyFont="1" applyFill="1" applyBorder="1" applyAlignment="1">
      <alignment horizontal="center" vertical="center"/>
    </xf>
    <xf numFmtId="165" fontId="3" fillId="0" borderId="67" xfId="0" applyNumberFormat="1" applyFont="1" applyFill="1" applyBorder="1" applyAlignment="1">
      <alignment horizontal="right" vertical="center"/>
    </xf>
    <xf numFmtId="165" fontId="3" fillId="37" borderId="11" xfId="0" applyNumberFormat="1" applyFont="1" applyFill="1" applyBorder="1" applyAlignment="1">
      <alignment horizontal="right" vertical="center"/>
    </xf>
    <xf numFmtId="165" fontId="3" fillId="37" borderId="10" xfId="0" applyNumberFormat="1" applyFont="1" applyFill="1" applyBorder="1" applyAlignment="1">
      <alignment horizontal="right" vertical="center"/>
    </xf>
    <xf numFmtId="165" fontId="3" fillId="37" borderId="58" xfId="0" applyNumberFormat="1" applyFont="1" applyFill="1" applyBorder="1" applyAlignment="1">
      <alignment horizontal="right" vertical="center"/>
    </xf>
    <xf numFmtId="165" fontId="3" fillId="37" borderId="16" xfId="0" applyNumberFormat="1" applyFont="1" applyFill="1" applyBorder="1" applyAlignment="1">
      <alignment horizontal="right" vertical="center"/>
    </xf>
    <xf numFmtId="165" fontId="9" fillId="37" borderId="16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37" borderId="12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165" fontId="9" fillId="0" borderId="33" xfId="0" applyNumberFormat="1" applyFont="1" applyFill="1" applyBorder="1" applyAlignment="1">
      <alignment horizontal="right" vertical="center"/>
    </xf>
    <xf numFmtId="165" fontId="3" fillId="36" borderId="33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37" borderId="3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165" fontId="3" fillId="0" borderId="66" xfId="0" applyNumberFormat="1" applyFont="1" applyFill="1" applyBorder="1" applyAlignment="1">
      <alignment horizontal="right" vertical="center"/>
    </xf>
    <xf numFmtId="165" fontId="3" fillId="0" borderId="66" xfId="0" applyNumberFormat="1" applyFont="1" applyBorder="1" applyAlignment="1">
      <alignment vertical="center"/>
    </xf>
    <xf numFmtId="165" fontId="4" fillId="36" borderId="68" xfId="0" applyNumberFormat="1" applyFont="1" applyFill="1" applyBorder="1" applyAlignment="1">
      <alignment horizontal="right" vertical="center"/>
    </xf>
    <xf numFmtId="165" fontId="4" fillId="36" borderId="66" xfId="0" applyNumberFormat="1" applyFont="1" applyFill="1" applyBorder="1" applyAlignment="1">
      <alignment horizontal="right" vertical="center"/>
    </xf>
    <xf numFmtId="165" fontId="3" fillId="36" borderId="66" xfId="0" applyNumberFormat="1" applyFont="1" applyFill="1" applyBorder="1" applyAlignment="1">
      <alignment vertical="center"/>
    </xf>
    <xf numFmtId="165" fontId="10" fillId="36" borderId="68" xfId="0" applyNumberFormat="1" applyFont="1" applyFill="1" applyBorder="1" applyAlignment="1">
      <alignment vertical="center"/>
    </xf>
    <xf numFmtId="165" fontId="10" fillId="36" borderId="66" xfId="0" applyNumberFormat="1" applyFont="1" applyFill="1" applyBorder="1" applyAlignment="1">
      <alignment vertical="center"/>
    </xf>
    <xf numFmtId="164" fontId="4" fillId="36" borderId="16" xfId="0" applyNumberFormat="1" applyFont="1" applyFill="1" applyBorder="1" applyAlignment="1">
      <alignment horizontal="right" vertical="center"/>
    </xf>
    <xf numFmtId="164" fontId="4" fillId="36" borderId="0" xfId="0" applyNumberFormat="1" applyFont="1" applyFill="1" applyBorder="1" applyAlignment="1">
      <alignment horizontal="right" vertical="center"/>
    </xf>
    <xf numFmtId="164" fontId="3" fillId="36" borderId="0" xfId="0" applyNumberFormat="1" applyFont="1" applyFill="1" applyBorder="1" applyAlignment="1" quotePrefix="1">
      <alignment horizontal="right" vertical="center"/>
    </xf>
    <xf numFmtId="164" fontId="3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left" wrapText="1"/>
    </xf>
    <xf numFmtId="165" fontId="3" fillId="0" borderId="17" xfId="0" applyNumberFormat="1" applyFont="1" applyFill="1" applyBorder="1" applyAlignment="1" quotePrefix="1">
      <alignment horizontal="right" vertical="center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top" wrapText="1"/>
    </xf>
    <xf numFmtId="0" fontId="0" fillId="0" borderId="55" xfId="0" applyFill="1" applyBorder="1" applyAlignment="1">
      <alignment/>
    </xf>
    <xf numFmtId="0" fontId="0" fillId="37" borderId="55" xfId="0" applyFill="1" applyBorder="1" applyAlignment="1">
      <alignment/>
    </xf>
    <xf numFmtId="0" fontId="4" fillId="36" borderId="58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1" fontId="4" fillId="35" borderId="58" xfId="0" applyNumberFormat="1" applyFont="1" applyFill="1" applyBorder="1" applyAlignment="1">
      <alignment horizontal="center" vertical="center"/>
    </xf>
    <xf numFmtId="165" fontId="10" fillId="36" borderId="58" xfId="0" applyNumberFormat="1" applyFont="1" applyFill="1" applyBorder="1" applyAlignment="1">
      <alignment horizontal="right" vertical="center"/>
    </xf>
    <xf numFmtId="165" fontId="10" fillId="36" borderId="33" xfId="0" applyNumberFormat="1" applyFont="1" applyFill="1" applyBorder="1" applyAlignment="1">
      <alignment horizontal="right" vertical="center"/>
    </xf>
    <xf numFmtId="165" fontId="4" fillId="36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1" fontId="4" fillId="35" borderId="16" xfId="0" applyNumberFormat="1" applyFont="1" applyFill="1" applyBorder="1" applyAlignment="1">
      <alignment horizontal="center" vertical="center"/>
    </xf>
    <xf numFmtId="165" fontId="9" fillId="37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1" fontId="4" fillId="36" borderId="13" xfId="0" applyNumberFormat="1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 quotePrefix="1">
      <alignment horizontal="right" vertical="center"/>
    </xf>
    <xf numFmtId="1" fontId="4" fillId="36" borderId="12" xfId="0" applyNumberFormat="1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vertical="center"/>
    </xf>
    <xf numFmtId="0" fontId="3" fillId="37" borderId="25" xfId="0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left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3" fillId="37" borderId="0" xfId="0" applyNumberFormat="1" applyFont="1" applyFill="1" applyBorder="1" applyAlignment="1">
      <alignment horizontal="center" vertical="center"/>
    </xf>
    <xf numFmtId="165" fontId="3" fillId="37" borderId="33" xfId="0" applyNumberFormat="1" applyFont="1" applyFill="1" applyBorder="1" applyAlignment="1">
      <alignment horizontal="center" vertical="center"/>
    </xf>
    <xf numFmtId="165" fontId="3" fillId="37" borderId="3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5" borderId="16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Standard_E00seit45" xfId="67"/>
    <cellStyle name="Title" xfId="68"/>
    <cellStyle name="Titre ligne" xfId="69"/>
    <cellStyle name="Total" xfId="70"/>
    <cellStyle name="Total intermediaire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0.85546875" style="4" customWidth="1"/>
    <col min="2" max="2" width="5.421875" style="133" customWidth="1"/>
    <col min="3" max="3" width="2.00390625" style="134" customWidth="1"/>
    <col min="4" max="4" width="51.57421875" style="4" customWidth="1"/>
    <col min="5" max="5" width="8.57421875" style="4" customWidth="1"/>
    <col min="6" max="16384" width="9.140625" style="4" customWidth="1"/>
  </cols>
  <sheetData>
    <row r="1" spans="2:5" ht="19.5" customHeight="1">
      <c r="B1" s="435" t="s">
        <v>74</v>
      </c>
      <c r="C1" s="435"/>
      <c r="D1" s="435"/>
      <c r="E1" s="435"/>
    </row>
    <row r="2" spans="2:5" ht="19.5" customHeight="1">
      <c r="B2" s="436" t="s">
        <v>75</v>
      </c>
      <c r="C2" s="436"/>
      <c r="D2" s="436"/>
      <c r="E2" s="436"/>
    </row>
    <row r="3" spans="2:5" ht="19.5" customHeight="1">
      <c r="B3" s="437" t="s">
        <v>110</v>
      </c>
      <c r="C3" s="437"/>
      <c r="D3" s="437"/>
      <c r="E3" s="437"/>
    </row>
    <row r="4" spans="2:5" ht="19.5" customHeight="1">
      <c r="B4" s="438" t="s">
        <v>76</v>
      </c>
      <c r="C4" s="438"/>
      <c r="D4" s="438"/>
      <c r="E4" s="438"/>
    </row>
    <row r="5" spans="2:5" ht="19.5" customHeight="1">
      <c r="B5" s="88"/>
      <c r="C5" s="88"/>
      <c r="D5" s="88"/>
      <c r="E5" s="88"/>
    </row>
    <row r="6" ht="19.5" customHeight="1"/>
    <row r="7" spans="2:5" ht="19.5" customHeight="1">
      <c r="B7" s="435" t="s">
        <v>121</v>
      </c>
      <c r="C7" s="435"/>
      <c r="D7" s="435"/>
      <c r="E7" s="435"/>
    </row>
    <row r="8" spans="2:5" ht="19.5" customHeight="1">
      <c r="B8" s="434">
        <v>2017</v>
      </c>
      <c r="C8" s="434"/>
      <c r="D8" s="434"/>
      <c r="E8" s="434"/>
    </row>
    <row r="9" spans="2:5" ht="19.5" customHeight="1">
      <c r="B9" s="94"/>
      <c r="C9" s="94"/>
      <c r="D9" s="94"/>
      <c r="E9" s="94"/>
    </row>
    <row r="10" spans="2:5" ht="19.5" customHeight="1">
      <c r="B10" s="439" t="s">
        <v>122</v>
      </c>
      <c r="C10" s="439"/>
      <c r="D10" s="439"/>
      <c r="E10" s="439"/>
    </row>
    <row r="11" spans="2:5" ht="19.5" customHeight="1">
      <c r="B11" s="135"/>
      <c r="E11" s="135"/>
    </row>
    <row r="12" spans="2:5" ht="19.5" customHeight="1">
      <c r="B12" s="433" t="s">
        <v>111</v>
      </c>
      <c r="C12" s="433"/>
      <c r="D12" s="433"/>
      <c r="E12" s="433"/>
    </row>
    <row r="13" spans="2:5" ht="19.5" customHeight="1">
      <c r="B13" s="433" t="s">
        <v>72</v>
      </c>
      <c r="C13" s="433"/>
      <c r="D13" s="433"/>
      <c r="E13" s="433"/>
    </row>
    <row r="14" spans="2:5" ht="19.5" customHeight="1">
      <c r="B14" s="135"/>
      <c r="D14"/>
      <c r="E14" s="135"/>
    </row>
    <row r="15" spans="2:5" ht="19.5" customHeight="1">
      <c r="B15" s="135"/>
      <c r="E15" s="135"/>
    </row>
    <row r="16" spans="2:5" ht="15" customHeight="1">
      <c r="B16" s="136" t="s">
        <v>112</v>
      </c>
      <c r="C16" s="137"/>
      <c r="D16" s="139" t="s">
        <v>91</v>
      </c>
      <c r="E16" s="135"/>
    </row>
    <row r="17" spans="2:5" ht="15" customHeight="1">
      <c r="B17" s="136" t="s">
        <v>113</v>
      </c>
      <c r="C17" s="137"/>
      <c r="D17" s="138" t="s">
        <v>79</v>
      </c>
      <c r="E17" s="135"/>
    </row>
    <row r="18" spans="2:5" ht="15" customHeight="1">
      <c r="B18" s="136" t="s">
        <v>114</v>
      </c>
      <c r="C18" s="137"/>
      <c r="D18" s="139" t="s">
        <v>92</v>
      </c>
      <c r="E18" s="135"/>
    </row>
    <row r="19" spans="2:5" ht="15" customHeight="1">
      <c r="B19" s="136" t="s">
        <v>115</v>
      </c>
      <c r="C19" s="137"/>
      <c r="D19" s="139" t="s">
        <v>93</v>
      </c>
      <c r="E19" s="135"/>
    </row>
    <row r="20" spans="2:4" ht="15" customHeight="1">
      <c r="B20" s="136" t="s">
        <v>116</v>
      </c>
      <c r="C20" s="137"/>
      <c r="D20" s="138" t="s">
        <v>94</v>
      </c>
    </row>
    <row r="21" spans="2:5" ht="15" customHeight="1">
      <c r="B21" s="136" t="s">
        <v>117</v>
      </c>
      <c r="C21" s="137"/>
      <c r="D21" s="138" t="s">
        <v>86</v>
      </c>
      <c r="E21"/>
    </row>
    <row r="22" spans="2:5" ht="15" customHeight="1">
      <c r="B22" s="136" t="s">
        <v>118</v>
      </c>
      <c r="C22" s="137"/>
      <c r="D22" s="139" t="s">
        <v>95</v>
      </c>
      <c r="E22" s="135"/>
    </row>
    <row r="23" spans="2:5" ht="15" customHeight="1">
      <c r="B23" s="136" t="s">
        <v>119</v>
      </c>
      <c r="C23" s="137"/>
      <c r="D23" s="139" t="s">
        <v>96</v>
      </c>
      <c r="E23" s="135"/>
    </row>
    <row r="24" spans="2:5" ht="12.75">
      <c r="B24" s="135"/>
      <c r="E24" s="135"/>
    </row>
    <row r="25" ht="12.75">
      <c r="C25"/>
    </row>
    <row r="26" spans="2:5" ht="12.75">
      <c r="B26"/>
      <c r="C26"/>
      <c r="D26"/>
      <c r="E26"/>
    </row>
    <row r="27" spans="2:5" ht="13.5">
      <c r="B27" s="140"/>
      <c r="E27"/>
    </row>
    <row r="28" spans="2:5" ht="12.75">
      <c r="B28" s="135"/>
      <c r="E28" s="135"/>
    </row>
    <row r="29" spans="2:5" ht="12.75">
      <c r="B29" s="135"/>
      <c r="E29" s="135"/>
    </row>
    <row r="30" spans="2:5" ht="12.75">
      <c r="B30" s="135"/>
      <c r="E30" s="135"/>
    </row>
    <row r="31" spans="2:5" ht="12.75">
      <c r="B31" s="135"/>
      <c r="E31" s="135"/>
    </row>
    <row r="32" spans="2:5" ht="12.75">
      <c r="B32" s="135"/>
      <c r="E32" s="135"/>
    </row>
    <row r="33" spans="2:5" ht="12.75">
      <c r="B33" s="135"/>
      <c r="E33" s="135"/>
    </row>
    <row r="34" spans="2:5" ht="12.75">
      <c r="B34" s="135"/>
      <c r="E34" s="135"/>
    </row>
    <row r="36" spans="2:5" ht="13.5">
      <c r="B36" s="140"/>
      <c r="E36"/>
    </row>
    <row r="37" spans="2:5" ht="12.75">
      <c r="B37" s="135"/>
      <c r="E37" s="135"/>
    </row>
    <row r="38" spans="2:5" ht="12.75">
      <c r="B38" s="135"/>
      <c r="E38" s="135"/>
    </row>
    <row r="39" spans="2:5" ht="12.75">
      <c r="B39" s="135"/>
      <c r="E39" s="135"/>
    </row>
    <row r="46" spans="3:4" ht="12.75">
      <c r="C46" s="141"/>
      <c r="D46" s="142"/>
    </row>
    <row r="53" ht="12.75"/>
    <row r="56" spans="3:5" ht="12.75">
      <c r="C56"/>
      <c r="D56"/>
      <c r="E56"/>
    </row>
  </sheetData>
  <sheetProtection/>
  <mergeCells count="9">
    <mergeCell ref="B12:E12"/>
    <mergeCell ref="B13:E13"/>
    <mergeCell ref="B8:E8"/>
    <mergeCell ref="B7:E7"/>
    <mergeCell ref="B1:E1"/>
    <mergeCell ref="B2:E2"/>
    <mergeCell ref="B3:E3"/>
    <mergeCell ref="B4:E4"/>
    <mergeCell ref="B10:E10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/>
  <dimension ref="A1:AX51"/>
  <sheetViews>
    <sheetView zoomScalePageLayoutView="0" workbookViewId="0" topLeftCell="A1">
      <selection activeCell="AG21" sqref="AG21"/>
    </sheetView>
  </sheetViews>
  <sheetFormatPr defaultColWidth="9.140625" defaultRowHeight="12.75"/>
  <cols>
    <col min="1" max="1" width="2.7109375" style="2" customWidth="1"/>
    <col min="2" max="2" width="3.8515625" style="2" customWidth="1"/>
    <col min="3" max="4" width="6.7109375" style="2" hidden="1" customWidth="1"/>
    <col min="5" max="5" width="6.140625" style="2" customWidth="1"/>
    <col min="6" max="9" width="6.28125" style="2" customWidth="1"/>
    <col min="10" max="13" width="6.140625" style="2" customWidth="1"/>
    <col min="14" max="14" width="6.57421875" style="2" customWidth="1"/>
    <col min="15" max="22" width="6.140625" style="2" customWidth="1"/>
    <col min="23" max="30" width="6.421875" style="2" customWidth="1"/>
    <col min="31" max="16384" width="9.140625" style="2" customWidth="1"/>
  </cols>
  <sheetData>
    <row r="1" spans="2:31" ht="14.25" customHeight="1">
      <c r="B1" s="440"/>
      <c r="C1" s="440"/>
      <c r="D1" s="2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E1" s="18" t="s">
        <v>112</v>
      </c>
    </row>
    <row r="2" spans="2:31" ht="30" customHeight="1">
      <c r="B2" s="443" t="s">
        <v>21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</row>
    <row r="3" spans="2:31" ht="15" customHeight="1">
      <c r="B3" s="438" t="s">
        <v>22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</row>
    <row r="4" spans="2:31" ht="12.75">
      <c r="B4" s="3"/>
      <c r="C4" s="3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V4" s="31" t="s">
        <v>5</v>
      </c>
      <c r="W4" s="87"/>
      <c r="X4" s="87"/>
      <c r="Y4" s="87"/>
      <c r="Z4" s="87"/>
      <c r="AA4" s="87"/>
      <c r="AB4" s="87"/>
      <c r="AC4" s="87"/>
      <c r="AD4" s="87"/>
      <c r="AE4" s="87"/>
    </row>
    <row r="5" spans="2:31" ht="24.75" customHeight="1">
      <c r="B5" s="173"/>
      <c r="C5" s="48">
        <v>1970</v>
      </c>
      <c r="D5" s="49">
        <v>1980</v>
      </c>
      <c r="E5" s="49">
        <v>1990</v>
      </c>
      <c r="F5" s="49">
        <v>1991</v>
      </c>
      <c r="G5" s="49">
        <v>1992</v>
      </c>
      <c r="H5" s="49">
        <v>1993</v>
      </c>
      <c r="I5" s="49">
        <v>1994</v>
      </c>
      <c r="J5" s="49">
        <v>1995</v>
      </c>
      <c r="K5" s="49">
        <v>1996</v>
      </c>
      <c r="L5" s="49">
        <v>1997</v>
      </c>
      <c r="M5" s="49">
        <v>1998</v>
      </c>
      <c r="N5" s="49">
        <v>1999</v>
      </c>
      <c r="O5" s="49">
        <v>2000</v>
      </c>
      <c r="P5" s="49">
        <v>2001</v>
      </c>
      <c r="Q5" s="49">
        <v>2002</v>
      </c>
      <c r="R5" s="49">
        <v>2003</v>
      </c>
      <c r="S5" s="49">
        <v>2004</v>
      </c>
      <c r="T5" s="49">
        <v>2005</v>
      </c>
      <c r="U5" s="49">
        <v>2006</v>
      </c>
      <c r="V5" s="49">
        <v>2007</v>
      </c>
      <c r="W5" s="49">
        <v>2008</v>
      </c>
      <c r="X5" s="49">
        <v>2009</v>
      </c>
      <c r="Y5" s="49">
        <v>2010</v>
      </c>
      <c r="Z5" s="49">
        <v>2011</v>
      </c>
      <c r="AA5" s="49">
        <v>2012</v>
      </c>
      <c r="AB5" s="49">
        <v>2013</v>
      </c>
      <c r="AC5" s="425">
        <v>2014</v>
      </c>
      <c r="AD5" s="420">
        <v>2015</v>
      </c>
      <c r="AE5" s="7"/>
    </row>
    <row r="6" spans="2:31" ht="12.75" customHeight="1">
      <c r="B6" s="51" t="s">
        <v>132</v>
      </c>
      <c r="C6" s="52"/>
      <c r="D6" s="53"/>
      <c r="E6" s="53">
        <f aca="true" t="shared" si="0" ref="E6:X6">SUM(E9:E36)</f>
        <v>42206.6</v>
      </c>
      <c r="F6" s="53">
        <f t="shared" si="0"/>
        <v>43243</v>
      </c>
      <c r="G6" s="53">
        <f t="shared" si="0"/>
        <v>45360</v>
      </c>
      <c r="H6" s="53">
        <f t="shared" si="0"/>
        <v>46236</v>
      </c>
      <c r="I6" s="53">
        <f t="shared" si="0"/>
        <v>46916</v>
      </c>
      <c r="J6" s="168">
        <f t="shared" si="0"/>
        <v>48297</v>
      </c>
      <c r="K6" s="168">
        <f t="shared" si="0"/>
        <v>49444</v>
      </c>
      <c r="L6" s="168">
        <f t="shared" si="0"/>
        <v>50768.9</v>
      </c>
      <c r="M6" s="168">
        <f t="shared" si="0"/>
        <v>52655.1</v>
      </c>
      <c r="N6" s="168">
        <f t="shared" si="0"/>
        <v>54296.1</v>
      </c>
      <c r="O6" s="168">
        <f t="shared" si="0"/>
        <v>55116.1</v>
      </c>
      <c r="P6" s="168">
        <f t="shared" si="0"/>
        <v>56826.7</v>
      </c>
      <c r="Q6" s="168">
        <f t="shared" si="0"/>
        <v>58118</v>
      </c>
      <c r="R6" s="168">
        <f t="shared" si="0"/>
        <v>59577.5</v>
      </c>
      <c r="S6" s="168">
        <f t="shared" si="0"/>
        <v>61225.99</v>
      </c>
      <c r="T6" s="168">
        <f t="shared" si="0"/>
        <v>63139.94</v>
      </c>
      <c r="U6" s="168">
        <f t="shared" si="0"/>
        <v>64718.44</v>
      </c>
      <c r="V6" s="168">
        <f t="shared" si="0"/>
        <v>66274.8</v>
      </c>
      <c r="W6" s="168">
        <f t="shared" si="0"/>
        <v>67815.4</v>
      </c>
      <c r="X6" s="168">
        <f t="shared" si="0"/>
        <v>69964</v>
      </c>
      <c r="Y6" s="168">
        <f aca="true" t="shared" si="1" ref="Y6:AD6">SUM(Y9:Y36)</f>
        <v>71135.5</v>
      </c>
      <c r="Z6" s="168">
        <f t="shared" si="1"/>
        <v>71850.92</v>
      </c>
      <c r="AA6" s="168">
        <f t="shared" si="1"/>
        <v>73054.51999999999</v>
      </c>
      <c r="AB6" s="168">
        <f t="shared" si="1"/>
        <v>74321.79999999999</v>
      </c>
      <c r="AC6" s="168">
        <f t="shared" si="1"/>
        <v>74849.59999999999</v>
      </c>
      <c r="AD6" s="421">
        <f t="shared" si="1"/>
        <v>75820.3</v>
      </c>
      <c r="AE6" s="415" t="s">
        <v>132</v>
      </c>
    </row>
    <row r="7" spans="2:31" ht="12.75" customHeight="1">
      <c r="B7" s="54" t="s">
        <v>133</v>
      </c>
      <c r="C7" s="55">
        <v>16051</v>
      </c>
      <c r="D7" s="56">
        <v>30454</v>
      </c>
      <c r="E7" s="56">
        <f aca="true" t="shared" si="2" ref="E7:X7">SUM(E9,E12,E13,E15,E16,E17,E18,E20,E24,E27,E28,E30,E34,E35,E36)</f>
        <v>39646.6</v>
      </c>
      <c r="F7" s="56">
        <f t="shared" si="2"/>
        <v>40695</v>
      </c>
      <c r="G7" s="56">
        <f t="shared" si="2"/>
        <v>42776</v>
      </c>
      <c r="H7" s="56">
        <f t="shared" si="2"/>
        <v>43579</v>
      </c>
      <c r="I7" s="56">
        <f t="shared" si="2"/>
        <v>44203</v>
      </c>
      <c r="J7" s="169">
        <f t="shared" si="2"/>
        <v>45493</v>
      </c>
      <c r="K7" s="169">
        <f t="shared" si="2"/>
        <v>46529</v>
      </c>
      <c r="L7" s="169">
        <f t="shared" si="2"/>
        <v>47658.9</v>
      </c>
      <c r="M7" s="169">
        <f t="shared" si="2"/>
        <v>49327.1</v>
      </c>
      <c r="N7" s="169">
        <f t="shared" si="2"/>
        <v>50809.1</v>
      </c>
      <c r="O7" s="169">
        <f t="shared" si="2"/>
        <v>51476.1</v>
      </c>
      <c r="P7" s="169">
        <f t="shared" si="2"/>
        <v>53099.7</v>
      </c>
      <c r="Q7" s="169">
        <f t="shared" si="2"/>
        <v>54061</v>
      </c>
      <c r="R7" s="169">
        <f t="shared" si="2"/>
        <v>55274.5</v>
      </c>
      <c r="S7" s="169">
        <f t="shared" si="2"/>
        <v>56302.99</v>
      </c>
      <c r="T7" s="169">
        <f t="shared" si="2"/>
        <v>57900.94</v>
      </c>
      <c r="U7" s="169">
        <f t="shared" si="2"/>
        <v>59070.94</v>
      </c>
      <c r="V7" s="169">
        <f t="shared" si="2"/>
        <v>60429.3</v>
      </c>
      <c r="W7" s="169">
        <f t="shared" si="2"/>
        <v>61437.4</v>
      </c>
      <c r="X7" s="169">
        <f t="shared" si="2"/>
        <v>63326</v>
      </c>
      <c r="Y7" s="169">
        <f aca="true" t="shared" si="3" ref="Y7:AD7">SUM(Y9,Y12,Y13,Y15,Y16,Y17,Y18,Y20,Y24,Y27,Y28,Y30,Y34,Y35,Y36)</f>
        <v>64186.799999999996</v>
      </c>
      <c r="Z7" s="169">
        <f t="shared" si="3"/>
        <v>64589.719999999994</v>
      </c>
      <c r="AA7" s="169">
        <f t="shared" si="3"/>
        <v>65200.219999999994</v>
      </c>
      <c r="AB7" s="169">
        <f t="shared" si="3"/>
        <v>65863.09999999999</v>
      </c>
      <c r="AC7" s="169">
        <f t="shared" si="3"/>
        <v>66256.09999999999</v>
      </c>
      <c r="AD7" s="422">
        <f t="shared" si="3"/>
        <v>66846.3</v>
      </c>
      <c r="AE7" s="416" t="s">
        <v>133</v>
      </c>
    </row>
    <row r="8" spans="2:31" ht="12.75" customHeight="1">
      <c r="B8" s="57" t="s">
        <v>134</v>
      </c>
      <c r="C8" s="58"/>
      <c r="D8" s="59"/>
      <c r="E8" s="59">
        <f aca="true" t="shared" si="4" ref="E8:X8">E6-E7</f>
        <v>2560</v>
      </c>
      <c r="F8" s="59">
        <f t="shared" si="4"/>
        <v>2548</v>
      </c>
      <c r="G8" s="59">
        <f t="shared" si="4"/>
        <v>2584</v>
      </c>
      <c r="H8" s="59">
        <f t="shared" si="4"/>
        <v>2657</v>
      </c>
      <c r="I8" s="59">
        <f t="shared" si="4"/>
        <v>2713</v>
      </c>
      <c r="J8" s="59">
        <f t="shared" si="4"/>
        <v>2804</v>
      </c>
      <c r="K8" s="59">
        <f t="shared" si="4"/>
        <v>2915</v>
      </c>
      <c r="L8" s="59">
        <f t="shared" si="4"/>
        <v>3110</v>
      </c>
      <c r="M8" s="59">
        <f t="shared" si="4"/>
        <v>3328</v>
      </c>
      <c r="N8" s="59">
        <f t="shared" si="4"/>
        <v>3487</v>
      </c>
      <c r="O8" s="59">
        <f t="shared" si="4"/>
        <v>3640</v>
      </c>
      <c r="P8" s="59">
        <f t="shared" si="4"/>
        <v>3727</v>
      </c>
      <c r="Q8" s="59">
        <f t="shared" si="4"/>
        <v>4057</v>
      </c>
      <c r="R8" s="59">
        <f t="shared" si="4"/>
        <v>4303</v>
      </c>
      <c r="S8" s="59">
        <f t="shared" si="4"/>
        <v>4923</v>
      </c>
      <c r="T8" s="59">
        <f t="shared" si="4"/>
        <v>5239</v>
      </c>
      <c r="U8" s="59">
        <f t="shared" si="4"/>
        <v>5647.5</v>
      </c>
      <c r="V8" s="59">
        <f t="shared" si="4"/>
        <v>5845.5</v>
      </c>
      <c r="W8" s="59">
        <f t="shared" si="4"/>
        <v>6377.999999999993</v>
      </c>
      <c r="X8" s="59">
        <f t="shared" si="4"/>
        <v>6638</v>
      </c>
      <c r="Y8" s="59">
        <f aca="true" t="shared" si="5" ref="Y8:AD8">Y6-Y7</f>
        <v>6948.700000000004</v>
      </c>
      <c r="Z8" s="59">
        <f t="shared" si="5"/>
        <v>7261.200000000004</v>
      </c>
      <c r="AA8" s="59">
        <f t="shared" si="5"/>
        <v>7854.299999999996</v>
      </c>
      <c r="AB8" s="59">
        <f t="shared" si="5"/>
        <v>8458.699999999997</v>
      </c>
      <c r="AC8" s="59">
        <f t="shared" si="5"/>
        <v>8593.5</v>
      </c>
      <c r="AD8" s="423">
        <f t="shared" si="5"/>
        <v>8974</v>
      </c>
      <c r="AE8" s="417" t="s">
        <v>134</v>
      </c>
    </row>
    <row r="9" spans="1:31" ht="12.75" customHeight="1">
      <c r="A9" s="8"/>
      <c r="B9" s="10" t="s">
        <v>45</v>
      </c>
      <c r="C9" s="45">
        <v>488</v>
      </c>
      <c r="D9" s="42">
        <v>1203</v>
      </c>
      <c r="E9" s="42">
        <v>1666</v>
      </c>
      <c r="F9" s="42">
        <v>1650</v>
      </c>
      <c r="G9" s="42">
        <v>1658</v>
      </c>
      <c r="H9" s="42">
        <v>1665</v>
      </c>
      <c r="I9" s="42">
        <v>1666</v>
      </c>
      <c r="J9" s="42">
        <v>1666</v>
      </c>
      <c r="K9" s="42">
        <v>1674</v>
      </c>
      <c r="L9" s="42">
        <v>1678.9</v>
      </c>
      <c r="M9" s="42">
        <v>1682.1</v>
      </c>
      <c r="N9" s="42">
        <v>1691.1</v>
      </c>
      <c r="O9" s="42">
        <v>1702.1</v>
      </c>
      <c r="P9" s="42">
        <v>1726.7</v>
      </c>
      <c r="Q9" s="42">
        <v>1729</v>
      </c>
      <c r="R9" s="42">
        <v>1729</v>
      </c>
      <c r="S9" s="42">
        <v>1747</v>
      </c>
      <c r="T9" s="147">
        <v>1747</v>
      </c>
      <c r="U9" s="42">
        <v>1763</v>
      </c>
      <c r="V9" s="42">
        <v>1763</v>
      </c>
      <c r="W9" s="41">
        <v>1763</v>
      </c>
      <c r="X9" s="42">
        <v>1763</v>
      </c>
      <c r="Y9" s="42">
        <v>1763</v>
      </c>
      <c r="Z9" s="247">
        <v>1763</v>
      </c>
      <c r="AA9" s="247">
        <v>1763</v>
      </c>
      <c r="AB9" s="247">
        <v>1763</v>
      </c>
      <c r="AC9" s="348">
        <v>1763</v>
      </c>
      <c r="AD9" s="391">
        <v>1763</v>
      </c>
      <c r="AE9" s="418" t="s">
        <v>45</v>
      </c>
    </row>
    <row r="10" spans="1:31" ht="12.75" customHeight="1">
      <c r="A10" s="8"/>
      <c r="B10" s="54" t="s">
        <v>28</v>
      </c>
      <c r="C10" s="95"/>
      <c r="D10" s="96"/>
      <c r="E10" s="96">
        <v>273</v>
      </c>
      <c r="F10" s="97">
        <v>273</v>
      </c>
      <c r="G10" s="97">
        <v>273</v>
      </c>
      <c r="H10" s="96">
        <v>276</v>
      </c>
      <c r="I10" s="96">
        <v>276</v>
      </c>
      <c r="J10" s="96">
        <v>277</v>
      </c>
      <c r="K10" s="96">
        <v>277</v>
      </c>
      <c r="L10" s="96">
        <v>314</v>
      </c>
      <c r="M10" s="96">
        <v>314</v>
      </c>
      <c r="N10" s="96">
        <v>314</v>
      </c>
      <c r="O10" s="96">
        <v>319</v>
      </c>
      <c r="P10" s="96">
        <v>324</v>
      </c>
      <c r="Q10" s="96">
        <v>324</v>
      </c>
      <c r="R10" s="96">
        <v>328</v>
      </c>
      <c r="S10" s="96">
        <v>331</v>
      </c>
      <c r="T10" s="146">
        <v>331</v>
      </c>
      <c r="U10" s="96">
        <v>394</v>
      </c>
      <c r="V10" s="96">
        <v>418</v>
      </c>
      <c r="W10" s="96">
        <v>418</v>
      </c>
      <c r="X10" s="96">
        <v>418</v>
      </c>
      <c r="Y10" s="96">
        <v>437</v>
      </c>
      <c r="Z10" s="96">
        <v>458</v>
      </c>
      <c r="AA10" s="96">
        <v>541</v>
      </c>
      <c r="AB10" s="96">
        <v>605</v>
      </c>
      <c r="AC10" s="96">
        <v>610</v>
      </c>
      <c r="AD10" s="392">
        <v>734</v>
      </c>
      <c r="AE10" s="416" t="s">
        <v>28</v>
      </c>
    </row>
    <row r="11" spans="1:31" ht="12.75" customHeight="1">
      <c r="A11" s="8"/>
      <c r="B11" s="10" t="s">
        <v>30</v>
      </c>
      <c r="C11" s="46"/>
      <c r="D11" s="47"/>
      <c r="E11" s="42">
        <v>357</v>
      </c>
      <c r="F11" s="42">
        <v>362</v>
      </c>
      <c r="G11" s="42">
        <v>366</v>
      </c>
      <c r="H11" s="42">
        <v>390</v>
      </c>
      <c r="I11" s="42">
        <v>392</v>
      </c>
      <c r="J11" s="42">
        <v>414</v>
      </c>
      <c r="K11" s="42">
        <v>423</v>
      </c>
      <c r="L11" s="42">
        <v>486</v>
      </c>
      <c r="M11" s="42">
        <v>499</v>
      </c>
      <c r="N11" s="42">
        <v>499</v>
      </c>
      <c r="O11" s="42">
        <v>501</v>
      </c>
      <c r="P11" s="42">
        <v>517</v>
      </c>
      <c r="Q11" s="42">
        <v>518</v>
      </c>
      <c r="R11" s="42">
        <v>518</v>
      </c>
      <c r="S11" s="42">
        <v>546</v>
      </c>
      <c r="T11" s="147">
        <v>564</v>
      </c>
      <c r="U11" s="42">
        <v>633</v>
      </c>
      <c r="V11" s="42">
        <v>657</v>
      </c>
      <c r="W11" s="42">
        <v>691</v>
      </c>
      <c r="X11" s="42">
        <v>729</v>
      </c>
      <c r="Y11" s="42">
        <v>734</v>
      </c>
      <c r="Z11" s="42">
        <v>745</v>
      </c>
      <c r="AA11" s="42">
        <v>751</v>
      </c>
      <c r="AB11" s="42">
        <v>775.8</v>
      </c>
      <c r="AC11" s="42">
        <v>776</v>
      </c>
      <c r="AD11" s="393">
        <v>776</v>
      </c>
      <c r="AE11" s="418" t="s">
        <v>30</v>
      </c>
    </row>
    <row r="12" spans="1:31" ht="12.75" customHeight="1">
      <c r="A12" s="8"/>
      <c r="B12" s="54" t="s">
        <v>41</v>
      </c>
      <c r="C12" s="95">
        <v>184</v>
      </c>
      <c r="D12" s="96">
        <v>516</v>
      </c>
      <c r="E12" s="96">
        <v>611</v>
      </c>
      <c r="F12" s="96">
        <v>663</v>
      </c>
      <c r="G12" s="96">
        <v>663</v>
      </c>
      <c r="H12" s="96">
        <v>706</v>
      </c>
      <c r="I12" s="96">
        <v>747</v>
      </c>
      <c r="J12" s="96">
        <v>796</v>
      </c>
      <c r="K12" s="96">
        <v>797</v>
      </c>
      <c r="L12" s="96">
        <v>834</v>
      </c>
      <c r="M12" s="96">
        <v>863</v>
      </c>
      <c r="N12" s="96">
        <v>902</v>
      </c>
      <c r="O12" s="96">
        <v>923</v>
      </c>
      <c r="P12" s="96">
        <v>978</v>
      </c>
      <c r="Q12" s="96">
        <v>972</v>
      </c>
      <c r="R12" s="96">
        <v>1010</v>
      </c>
      <c r="S12" s="96">
        <v>1027</v>
      </c>
      <c r="T12" s="146">
        <v>1032</v>
      </c>
      <c r="U12" s="96">
        <v>1032</v>
      </c>
      <c r="V12" s="96">
        <v>1111</v>
      </c>
      <c r="W12" s="96">
        <v>1128</v>
      </c>
      <c r="X12" s="96">
        <v>1130</v>
      </c>
      <c r="Y12" s="96">
        <v>1130</v>
      </c>
      <c r="Z12" s="96">
        <v>1143</v>
      </c>
      <c r="AA12" s="96">
        <v>1195</v>
      </c>
      <c r="AB12" s="96">
        <v>1216</v>
      </c>
      <c r="AC12" s="96">
        <v>1232</v>
      </c>
      <c r="AD12" s="392">
        <v>1237</v>
      </c>
      <c r="AE12" s="416" t="s">
        <v>41</v>
      </c>
    </row>
    <row r="13" spans="1:31" ht="12.75" customHeight="1">
      <c r="A13" s="8"/>
      <c r="B13" s="10" t="s">
        <v>46</v>
      </c>
      <c r="C13" s="45">
        <v>6061</v>
      </c>
      <c r="D13" s="42">
        <v>9225</v>
      </c>
      <c r="E13" s="42">
        <v>10854</v>
      </c>
      <c r="F13" s="42">
        <v>10955</v>
      </c>
      <c r="G13" s="42">
        <v>11013</v>
      </c>
      <c r="H13" s="42">
        <v>11080</v>
      </c>
      <c r="I13" s="42">
        <v>11143</v>
      </c>
      <c r="J13" s="42">
        <v>11190</v>
      </c>
      <c r="K13" s="42">
        <v>11246</v>
      </c>
      <c r="L13" s="42">
        <v>11309</v>
      </c>
      <c r="M13" s="42">
        <v>11427</v>
      </c>
      <c r="N13" s="42">
        <v>11515</v>
      </c>
      <c r="O13" s="42">
        <v>11712</v>
      </c>
      <c r="P13" s="42">
        <v>11786</v>
      </c>
      <c r="Q13" s="42">
        <v>12037</v>
      </c>
      <c r="R13" s="42">
        <v>12044</v>
      </c>
      <c r="S13" s="42">
        <v>12174</v>
      </c>
      <c r="T13" s="147">
        <v>12363</v>
      </c>
      <c r="U13" s="42">
        <v>12531</v>
      </c>
      <c r="V13" s="42">
        <v>12594</v>
      </c>
      <c r="W13" s="42">
        <v>12645</v>
      </c>
      <c r="X13" s="42">
        <v>12813</v>
      </c>
      <c r="Y13" s="42">
        <v>12819</v>
      </c>
      <c r="Z13" s="42">
        <v>12845</v>
      </c>
      <c r="AA13" s="42">
        <v>12879</v>
      </c>
      <c r="AB13" s="42">
        <v>12917</v>
      </c>
      <c r="AC13" s="42">
        <v>12949</v>
      </c>
      <c r="AD13" s="393">
        <v>12993</v>
      </c>
      <c r="AE13" s="418" t="s">
        <v>46</v>
      </c>
    </row>
    <row r="14" spans="1:31" ht="12.75" customHeight="1">
      <c r="A14" s="8"/>
      <c r="B14" s="54" t="s">
        <v>31</v>
      </c>
      <c r="C14" s="95"/>
      <c r="D14" s="96"/>
      <c r="E14" s="96">
        <v>41</v>
      </c>
      <c r="F14" s="96">
        <v>50</v>
      </c>
      <c r="G14" s="96">
        <v>60</v>
      </c>
      <c r="H14" s="96">
        <v>62</v>
      </c>
      <c r="I14" s="96">
        <v>64</v>
      </c>
      <c r="J14" s="96">
        <v>65</v>
      </c>
      <c r="K14" s="96">
        <v>65</v>
      </c>
      <c r="L14" s="96">
        <v>68</v>
      </c>
      <c r="M14" s="96">
        <v>74</v>
      </c>
      <c r="N14" s="96">
        <v>87</v>
      </c>
      <c r="O14" s="96">
        <v>93</v>
      </c>
      <c r="P14" s="96">
        <v>93</v>
      </c>
      <c r="Q14" s="96">
        <v>98</v>
      </c>
      <c r="R14" s="96">
        <v>98</v>
      </c>
      <c r="S14" s="96">
        <v>96</v>
      </c>
      <c r="T14" s="146">
        <v>99</v>
      </c>
      <c r="U14" s="96">
        <v>99</v>
      </c>
      <c r="V14" s="96">
        <v>96</v>
      </c>
      <c r="W14" s="96">
        <v>104</v>
      </c>
      <c r="X14" s="96">
        <v>100</v>
      </c>
      <c r="Y14" s="96">
        <v>115</v>
      </c>
      <c r="Z14" s="96">
        <v>115</v>
      </c>
      <c r="AA14" s="96">
        <v>124</v>
      </c>
      <c r="AB14" s="96">
        <v>140</v>
      </c>
      <c r="AC14" s="96">
        <v>141</v>
      </c>
      <c r="AD14" s="392">
        <v>147</v>
      </c>
      <c r="AE14" s="416" t="s">
        <v>31</v>
      </c>
    </row>
    <row r="15" spans="1:31" ht="12.75" customHeight="1">
      <c r="A15" s="8"/>
      <c r="B15" s="10" t="s">
        <v>49</v>
      </c>
      <c r="C15" s="45">
        <v>0</v>
      </c>
      <c r="D15" s="42">
        <v>0</v>
      </c>
      <c r="E15" s="42">
        <v>26</v>
      </c>
      <c r="F15" s="42">
        <v>32</v>
      </c>
      <c r="G15" s="42">
        <v>32</v>
      </c>
      <c r="H15" s="42">
        <v>53</v>
      </c>
      <c r="I15" s="42">
        <v>72</v>
      </c>
      <c r="J15" s="42">
        <v>70</v>
      </c>
      <c r="K15" s="42">
        <v>80</v>
      </c>
      <c r="L15" s="42">
        <v>94</v>
      </c>
      <c r="M15" s="42">
        <v>103</v>
      </c>
      <c r="N15" s="42">
        <v>103</v>
      </c>
      <c r="O15" s="42">
        <v>103</v>
      </c>
      <c r="P15" s="42">
        <v>125</v>
      </c>
      <c r="Q15" s="42">
        <v>125</v>
      </c>
      <c r="R15" s="42">
        <v>176</v>
      </c>
      <c r="S15" s="42">
        <v>192</v>
      </c>
      <c r="T15" s="147">
        <v>247</v>
      </c>
      <c r="U15" s="42">
        <v>270</v>
      </c>
      <c r="V15" s="42">
        <v>269</v>
      </c>
      <c r="W15" s="42">
        <v>423</v>
      </c>
      <c r="X15" s="42">
        <v>663</v>
      </c>
      <c r="Y15" s="42">
        <v>900</v>
      </c>
      <c r="Z15" s="42">
        <v>900</v>
      </c>
      <c r="AA15" s="42">
        <v>900</v>
      </c>
      <c r="AB15" s="42">
        <v>897</v>
      </c>
      <c r="AC15" s="42">
        <v>897</v>
      </c>
      <c r="AD15" s="393">
        <v>916</v>
      </c>
      <c r="AE15" s="418" t="s">
        <v>49</v>
      </c>
    </row>
    <row r="16" spans="1:31" ht="12.75" customHeight="1">
      <c r="A16" s="8"/>
      <c r="B16" s="54" t="s">
        <v>42</v>
      </c>
      <c r="C16" s="95">
        <v>11</v>
      </c>
      <c r="D16" s="96">
        <v>91</v>
      </c>
      <c r="E16" s="96">
        <v>190</v>
      </c>
      <c r="F16" s="96">
        <v>225</v>
      </c>
      <c r="G16" s="96">
        <v>280</v>
      </c>
      <c r="H16" s="96">
        <v>330</v>
      </c>
      <c r="I16" s="96">
        <v>380</v>
      </c>
      <c r="J16" s="97">
        <v>421</v>
      </c>
      <c r="K16" s="97">
        <v>467</v>
      </c>
      <c r="L16" s="97">
        <v>509</v>
      </c>
      <c r="M16" s="97">
        <v>526</v>
      </c>
      <c r="N16" s="97">
        <v>547</v>
      </c>
      <c r="O16" s="97">
        <v>615</v>
      </c>
      <c r="P16" s="97">
        <v>743</v>
      </c>
      <c r="Q16" s="97">
        <v>870</v>
      </c>
      <c r="R16" s="240">
        <v>916.5</v>
      </c>
      <c r="S16" s="240">
        <v>916.5</v>
      </c>
      <c r="T16" s="181">
        <v>916.5</v>
      </c>
      <c r="U16" s="240">
        <v>916.5</v>
      </c>
      <c r="V16" s="240">
        <v>916.5</v>
      </c>
      <c r="W16" s="240">
        <v>916.5</v>
      </c>
      <c r="X16" s="240">
        <v>1558.2</v>
      </c>
      <c r="Y16" s="240">
        <v>1558.2</v>
      </c>
      <c r="Z16" s="240">
        <v>1558.2</v>
      </c>
      <c r="AA16" s="240">
        <v>1558.2</v>
      </c>
      <c r="AB16" s="240">
        <v>1558.2</v>
      </c>
      <c r="AC16" s="240">
        <v>1558.2</v>
      </c>
      <c r="AD16" s="294">
        <v>1589.4</v>
      </c>
      <c r="AE16" s="416" t="s">
        <v>42</v>
      </c>
    </row>
    <row r="17" spans="1:31" ht="12.75" customHeight="1">
      <c r="A17" s="8"/>
      <c r="B17" s="10" t="s">
        <v>47</v>
      </c>
      <c r="C17" s="45">
        <v>387</v>
      </c>
      <c r="D17" s="42">
        <v>2008</v>
      </c>
      <c r="E17" s="42">
        <v>4976</v>
      </c>
      <c r="F17" s="42">
        <v>5235</v>
      </c>
      <c r="G17" s="42">
        <v>6486</v>
      </c>
      <c r="H17" s="42">
        <v>6577</v>
      </c>
      <c r="I17" s="42">
        <v>6497</v>
      </c>
      <c r="J17" s="42">
        <v>6962</v>
      </c>
      <c r="K17" s="42">
        <v>7295</v>
      </c>
      <c r="L17" s="42">
        <v>7750</v>
      </c>
      <c r="M17" s="42">
        <v>8269</v>
      </c>
      <c r="N17" s="42">
        <v>8893</v>
      </c>
      <c r="O17" s="42">
        <v>9049</v>
      </c>
      <c r="P17" s="42">
        <v>9571</v>
      </c>
      <c r="Q17" s="42">
        <v>9739</v>
      </c>
      <c r="R17" s="42">
        <v>10296</v>
      </c>
      <c r="S17" s="42">
        <v>10747</v>
      </c>
      <c r="T17" s="147">
        <v>11432</v>
      </c>
      <c r="U17" s="42">
        <v>12073</v>
      </c>
      <c r="V17" s="42">
        <v>13013</v>
      </c>
      <c r="W17" s="42">
        <v>13518</v>
      </c>
      <c r="X17" s="42">
        <v>14021</v>
      </c>
      <c r="Y17" s="42">
        <v>14262</v>
      </c>
      <c r="Z17" s="42">
        <v>14554</v>
      </c>
      <c r="AA17" s="42">
        <v>14701</v>
      </c>
      <c r="AB17" s="42">
        <f>3026+11955</f>
        <v>14981</v>
      </c>
      <c r="AC17" s="42">
        <f>3020+12029</f>
        <v>15049</v>
      </c>
      <c r="AD17" s="393">
        <f>3040+12296</f>
        <v>15336</v>
      </c>
      <c r="AE17" s="418" t="s">
        <v>47</v>
      </c>
    </row>
    <row r="18" spans="1:31" ht="12.75" customHeight="1">
      <c r="A18" s="8"/>
      <c r="B18" s="54" t="s">
        <v>48</v>
      </c>
      <c r="C18" s="95">
        <v>1553</v>
      </c>
      <c r="D18" s="96">
        <v>4862</v>
      </c>
      <c r="E18" s="96">
        <v>6824</v>
      </c>
      <c r="F18" s="96">
        <v>7080</v>
      </c>
      <c r="G18" s="96">
        <v>7408</v>
      </c>
      <c r="H18" s="96">
        <v>7614</v>
      </c>
      <c r="I18" s="96">
        <v>7956</v>
      </c>
      <c r="J18" s="96">
        <v>8275</v>
      </c>
      <c r="K18" s="96">
        <v>8596</v>
      </c>
      <c r="L18" s="96">
        <v>8864</v>
      </c>
      <c r="M18" s="96">
        <v>9303</v>
      </c>
      <c r="N18" s="96">
        <v>9626</v>
      </c>
      <c r="O18" s="96">
        <v>9766</v>
      </c>
      <c r="P18" s="96">
        <v>10068</v>
      </c>
      <c r="Q18" s="96">
        <v>10223</v>
      </c>
      <c r="R18" s="96">
        <v>10379</v>
      </c>
      <c r="S18" s="96">
        <v>10486</v>
      </c>
      <c r="T18" s="146">
        <v>10798</v>
      </c>
      <c r="U18" s="96">
        <v>10848</v>
      </c>
      <c r="V18" s="96">
        <v>10958</v>
      </c>
      <c r="W18" s="96">
        <v>11042</v>
      </c>
      <c r="X18" s="96">
        <v>11163</v>
      </c>
      <c r="Y18" s="96">
        <v>11392</v>
      </c>
      <c r="Z18" s="96">
        <v>11413</v>
      </c>
      <c r="AA18" s="96">
        <v>11413</v>
      </c>
      <c r="AB18" s="96">
        <v>11552</v>
      </c>
      <c r="AC18" s="96">
        <v>11560</v>
      </c>
      <c r="AD18" s="392">
        <v>11599</v>
      </c>
      <c r="AE18" s="416" t="s">
        <v>48</v>
      </c>
    </row>
    <row r="19" spans="1:31" ht="12.75" customHeight="1">
      <c r="A19" s="8"/>
      <c r="B19" s="10" t="s">
        <v>60</v>
      </c>
      <c r="C19" s="45"/>
      <c r="D19" s="42"/>
      <c r="E19" s="42">
        <v>291</v>
      </c>
      <c r="F19" s="42">
        <v>302</v>
      </c>
      <c r="G19" s="42">
        <v>292</v>
      </c>
      <c r="H19" s="42">
        <v>302</v>
      </c>
      <c r="I19" s="42">
        <v>302</v>
      </c>
      <c r="J19" s="42">
        <v>302</v>
      </c>
      <c r="K19" s="42">
        <v>318</v>
      </c>
      <c r="L19" s="42">
        <v>330</v>
      </c>
      <c r="M19" s="42">
        <v>330</v>
      </c>
      <c r="N19" s="42">
        <v>382</v>
      </c>
      <c r="O19" s="42">
        <v>411</v>
      </c>
      <c r="P19" s="42">
        <v>429</v>
      </c>
      <c r="Q19" s="42">
        <v>613</v>
      </c>
      <c r="R19" s="42">
        <v>754</v>
      </c>
      <c r="S19" s="42">
        <v>925</v>
      </c>
      <c r="T19" s="147">
        <v>1016</v>
      </c>
      <c r="U19" s="42">
        <v>1081</v>
      </c>
      <c r="V19" s="42">
        <v>1156</v>
      </c>
      <c r="W19" s="42">
        <v>1199</v>
      </c>
      <c r="X19" s="42">
        <v>1244</v>
      </c>
      <c r="Y19" s="42">
        <v>1244</v>
      </c>
      <c r="Z19" s="42">
        <v>1254</v>
      </c>
      <c r="AA19" s="42">
        <v>1254</v>
      </c>
      <c r="AB19" s="42">
        <v>1289</v>
      </c>
      <c r="AC19" s="306">
        <v>1290</v>
      </c>
      <c r="AD19" s="388">
        <v>1310</v>
      </c>
      <c r="AE19" s="418" t="s">
        <v>60</v>
      </c>
    </row>
    <row r="20" spans="1:31" ht="12.75" customHeight="1">
      <c r="A20" s="8"/>
      <c r="B20" s="224" t="s">
        <v>50</v>
      </c>
      <c r="C20" s="243">
        <v>3913</v>
      </c>
      <c r="D20" s="244">
        <v>5900</v>
      </c>
      <c r="E20" s="244">
        <v>6193</v>
      </c>
      <c r="F20" s="244">
        <v>6301</v>
      </c>
      <c r="G20" s="244">
        <v>6289</v>
      </c>
      <c r="H20" s="244">
        <v>6401</v>
      </c>
      <c r="I20" s="244">
        <v>6375</v>
      </c>
      <c r="J20" s="244">
        <v>6435</v>
      </c>
      <c r="K20" s="244">
        <v>6465</v>
      </c>
      <c r="L20" s="244">
        <v>6469</v>
      </c>
      <c r="M20" s="244">
        <v>6478</v>
      </c>
      <c r="N20" s="244">
        <v>6478</v>
      </c>
      <c r="O20" s="244">
        <v>6478</v>
      </c>
      <c r="P20" s="244">
        <v>6487</v>
      </c>
      <c r="Q20" s="244">
        <v>6487</v>
      </c>
      <c r="R20" s="244">
        <v>6487</v>
      </c>
      <c r="S20" s="244">
        <v>6532</v>
      </c>
      <c r="T20" s="246">
        <v>6542</v>
      </c>
      <c r="U20" s="244">
        <v>6554</v>
      </c>
      <c r="V20" s="244">
        <v>6588</v>
      </c>
      <c r="W20" s="244">
        <v>6629</v>
      </c>
      <c r="X20" s="244">
        <v>6661</v>
      </c>
      <c r="Y20" s="244">
        <v>6668</v>
      </c>
      <c r="Z20" s="244">
        <v>6668</v>
      </c>
      <c r="AA20" s="244">
        <v>6726</v>
      </c>
      <c r="AB20" s="244">
        <v>6751</v>
      </c>
      <c r="AC20" s="244">
        <v>6844</v>
      </c>
      <c r="AD20" s="371">
        <v>6943</v>
      </c>
      <c r="AE20" s="419" t="s">
        <v>50</v>
      </c>
    </row>
    <row r="21" spans="1:31" ht="12.75" customHeight="1">
      <c r="A21" s="8"/>
      <c r="B21" s="10" t="s">
        <v>29</v>
      </c>
      <c r="C21" s="45"/>
      <c r="D21" s="42"/>
      <c r="E21" s="42">
        <v>120</v>
      </c>
      <c r="F21" s="247">
        <v>120</v>
      </c>
      <c r="G21" s="247">
        <v>120</v>
      </c>
      <c r="H21" s="42">
        <v>154</v>
      </c>
      <c r="I21" s="42">
        <v>159</v>
      </c>
      <c r="J21" s="42">
        <v>167</v>
      </c>
      <c r="K21" s="42">
        <v>167</v>
      </c>
      <c r="L21" s="42">
        <v>194</v>
      </c>
      <c r="M21" s="42">
        <v>204</v>
      </c>
      <c r="N21" s="42">
        <v>216</v>
      </c>
      <c r="O21" s="42">
        <v>257</v>
      </c>
      <c r="P21" s="42">
        <v>257</v>
      </c>
      <c r="Q21" s="42">
        <v>268</v>
      </c>
      <c r="R21" s="42">
        <v>268</v>
      </c>
      <c r="S21" s="42">
        <v>268</v>
      </c>
      <c r="T21" s="248">
        <v>276</v>
      </c>
      <c r="U21" s="42">
        <v>257</v>
      </c>
      <c r="V21" s="42">
        <v>257</v>
      </c>
      <c r="W21" s="42">
        <v>257</v>
      </c>
      <c r="X21" s="42">
        <v>257</v>
      </c>
      <c r="Y21" s="42">
        <v>257</v>
      </c>
      <c r="Z21" s="42">
        <v>257</v>
      </c>
      <c r="AA21" s="42">
        <v>257</v>
      </c>
      <c r="AB21" s="42">
        <v>257</v>
      </c>
      <c r="AC21" s="42">
        <v>257</v>
      </c>
      <c r="AD21" s="393">
        <v>272</v>
      </c>
      <c r="AE21" s="418" t="s">
        <v>29</v>
      </c>
    </row>
    <row r="22" spans="1:31" ht="12.75" customHeight="1">
      <c r="A22" s="8"/>
      <c r="B22" s="224" t="s">
        <v>33</v>
      </c>
      <c r="C22" s="243" t="s">
        <v>59</v>
      </c>
      <c r="D22" s="244" t="s">
        <v>59</v>
      </c>
      <c r="E22" s="244" t="s">
        <v>59</v>
      </c>
      <c r="F22" s="244" t="s">
        <v>59</v>
      </c>
      <c r="G22" s="244" t="s">
        <v>59</v>
      </c>
      <c r="H22" s="244" t="s">
        <v>59</v>
      </c>
      <c r="I22" s="244" t="s">
        <v>59</v>
      </c>
      <c r="J22" s="244" t="s">
        <v>59</v>
      </c>
      <c r="K22" s="244" t="s">
        <v>59</v>
      </c>
      <c r="L22" s="244" t="s">
        <v>59</v>
      </c>
      <c r="M22" s="244" t="s">
        <v>59</v>
      </c>
      <c r="N22" s="244" t="s">
        <v>59</v>
      </c>
      <c r="O22" s="244" t="s">
        <v>62</v>
      </c>
      <c r="P22" s="244" t="s">
        <v>59</v>
      </c>
      <c r="Q22" s="244" t="s">
        <v>59</v>
      </c>
      <c r="R22" s="244" t="s">
        <v>59</v>
      </c>
      <c r="S22" s="244" t="s">
        <v>59</v>
      </c>
      <c r="T22" s="246" t="s">
        <v>59</v>
      </c>
      <c r="U22" s="244" t="s">
        <v>59</v>
      </c>
      <c r="V22" s="244" t="s">
        <v>59</v>
      </c>
      <c r="W22" s="244" t="s">
        <v>59</v>
      </c>
      <c r="X22" s="249" t="s">
        <v>59</v>
      </c>
      <c r="Y22" s="249" t="s">
        <v>59</v>
      </c>
      <c r="Z22" s="249" t="s">
        <v>59</v>
      </c>
      <c r="AA22" s="249" t="s">
        <v>59</v>
      </c>
      <c r="AB22" s="249" t="s">
        <v>59</v>
      </c>
      <c r="AC22" s="249" t="s">
        <v>59</v>
      </c>
      <c r="AD22" s="371" t="s">
        <v>59</v>
      </c>
      <c r="AE22" s="419" t="s">
        <v>33</v>
      </c>
    </row>
    <row r="23" spans="1:31" ht="12.75" customHeight="1">
      <c r="A23" s="8"/>
      <c r="B23" s="10" t="s">
        <v>34</v>
      </c>
      <c r="C23" s="45"/>
      <c r="D23" s="42"/>
      <c r="E23" s="42">
        <v>421</v>
      </c>
      <c r="F23" s="42">
        <v>376</v>
      </c>
      <c r="G23" s="42">
        <v>382</v>
      </c>
      <c r="H23" s="42">
        <v>394</v>
      </c>
      <c r="I23" s="42">
        <v>394</v>
      </c>
      <c r="J23" s="42">
        <v>394</v>
      </c>
      <c r="K23" s="42">
        <v>404</v>
      </c>
      <c r="L23" s="42">
        <v>410</v>
      </c>
      <c r="M23" s="42">
        <v>417</v>
      </c>
      <c r="N23" s="42">
        <v>417</v>
      </c>
      <c r="O23" s="42">
        <v>417</v>
      </c>
      <c r="P23" s="42">
        <v>417</v>
      </c>
      <c r="Q23" s="42">
        <v>417</v>
      </c>
      <c r="R23" s="42">
        <v>417</v>
      </c>
      <c r="S23" s="42">
        <v>417</v>
      </c>
      <c r="T23" s="248">
        <v>417</v>
      </c>
      <c r="U23" s="42">
        <v>309</v>
      </c>
      <c r="V23" s="42">
        <v>309</v>
      </c>
      <c r="W23" s="42">
        <v>309</v>
      </c>
      <c r="X23" s="42">
        <v>309</v>
      </c>
      <c r="Y23" s="42">
        <v>309</v>
      </c>
      <c r="Z23" s="42">
        <v>309</v>
      </c>
      <c r="AA23" s="42">
        <v>309</v>
      </c>
      <c r="AB23" s="42">
        <v>309</v>
      </c>
      <c r="AC23" s="42">
        <v>309</v>
      </c>
      <c r="AD23" s="42">
        <v>309</v>
      </c>
      <c r="AE23" s="10" t="s">
        <v>34</v>
      </c>
    </row>
    <row r="24" spans="1:31" ht="12.75" customHeight="1">
      <c r="A24" s="8"/>
      <c r="B24" s="54" t="s">
        <v>51</v>
      </c>
      <c r="C24" s="95">
        <v>7</v>
      </c>
      <c r="D24" s="96">
        <v>44</v>
      </c>
      <c r="E24" s="96">
        <v>78</v>
      </c>
      <c r="F24" s="97">
        <v>78</v>
      </c>
      <c r="G24" s="97">
        <v>95</v>
      </c>
      <c r="H24" s="96">
        <v>100</v>
      </c>
      <c r="I24" s="96">
        <v>121</v>
      </c>
      <c r="J24" s="96">
        <v>123</v>
      </c>
      <c r="K24" s="96">
        <v>115</v>
      </c>
      <c r="L24" s="96">
        <v>118</v>
      </c>
      <c r="M24" s="96">
        <v>115</v>
      </c>
      <c r="N24" s="96">
        <v>115</v>
      </c>
      <c r="O24" s="96">
        <v>114</v>
      </c>
      <c r="P24" s="96">
        <v>126</v>
      </c>
      <c r="Q24" s="96">
        <v>147</v>
      </c>
      <c r="R24" s="96">
        <v>147</v>
      </c>
      <c r="S24" s="96">
        <v>147</v>
      </c>
      <c r="T24" s="146">
        <v>147</v>
      </c>
      <c r="U24" s="96">
        <v>147</v>
      </c>
      <c r="V24" s="96">
        <v>147</v>
      </c>
      <c r="W24" s="96">
        <v>147</v>
      </c>
      <c r="X24" s="96">
        <v>147</v>
      </c>
      <c r="Y24" s="96">
        <v>152</v>
      </c>
      <c r="Z24" s="96">
        <v>152</v>
      </c>
      <c r="AA24" s="96">
        <v>152</v>
      </c>
      <c r="AB24" s="96">
        <v>152</v>
      </c>
      <c r="AC24" s="96">
        <v>152</v>
      </c>
      <c r="AD24" s="392">
        <v>161</v>
      </c>
      <c r="AE24" s="416" t="s">
        <v>51</v>
      </c>
    </row>
    <row r="25" spans="1:31" ht="12.75" customHeight="1">
      <c r="A25" s="8"/>
      <c r="B25" s="10" t="s">
        <v>32</v>
      </c>
      <c r="C25" s="46"/>
      <c r="D25" s="47"/>
      <c r="E25" s="42">
        <v>267</v>
      </c>
      <c r="F25" s="42">
        <v>269</v>
      </c>
      <c r="G25" s="42">
        <v>269</v>
      </c>
      <c r="H25" s="42">
        <v>269</v>
      </c>
      <c r="I25" s="42">
        <v>293</v>
      </c>
      <c r="J25" s="42">
        <v>335</v>
      </c>
      <c r="K25" s="42">
        <v>365</v>
      </c>
      <c r="L25" s="42">
        <v>382</v>
      </c>
      <c r="M25" s="42">
        <v>448</v>
      </c>
      <c r="N25" s="42">
        <v>448</v>
      </c>
      <c r="O25" s="42">
        <v>448</v>
      </c>
      <c r="P25" s="42">
        <v>448</v>
      </c>
      <c r="Q25" s="42">
        <v>542</v>
      </c>
      <c r="R25" s="42">
        <v>533</v>
      </c>
      <c r="S25" s="42">
        <v>761</v>
      </c>
      <c r="T25" s="147">
        <v>859</v>
      </c>
      <c r="U25" s="42">
        <v>1157</v>
      </c>
      <c r="V25" s="42">
        <v>1065</v>
      </c>
      <c r="W25" s="42">
        <v>1274</v>
      </c>
      <c r="X25" s="42">
        <v>1273</v>
      </c>
      <c r="Y25" s="42">
        <v>1477</v>
      </c>
      <c r="Z25" s="42">
        <v>1516</v>
      </c>
      <c r="AA25" s="42">
        <v>1515.1</v>
      </c>
      <c r="AB25" s="42">
        <v>1766.9</v>
      </c>
      <c r="AC25" s="42">
        <v>1781.8</v>
      </c>
      <c r="AD25" s="393">
        <v>1883.9</v>
      </c>
      <c r="AE25" s="418" t="s">
        <v>32</v>
      </c>
    </row>
    <row r="26" spans="1:31" ht="12.75" customHeight="1">
      <c r="A26" s="8"/>
      <c r="B26" s="54" t="s">
        <v>35</v>
      </c>
      <c r="C26" s="95" t="s">
        <v>59</v>
      </c>
      <c r="D26" s="96" t="s">
        <v>59</v>
      </c>
      <c r="E26" s="96" t="s">
        <v>59</v>
      </c>
      <c r="F26" s="96" t="s">
        <v>59</v>
      </c>
      <c r="G26" s="96" t="s">
        <v>59</v>
      </c>
      <c r="H26" s="96" t="s">
        <v>59</v>
      </c>
      <c r="I26" s="96" t="s">
        <v>59</v>
      </c>
      <c r="J26" s="96" t="s">
        <v>59</v>
      </c>
      <c r="K26" s="96" t="s">
        <v>59</v>
      </c>
      <c r="L26" s="96" t="s">
        <v>59</v>
      </c>
      <c r="M26" s="96" t="s">
        <v>59</v>
      </c>
      <c r="N26" s="96" t="s">
        <v>59</v>
      </c>
      <c r="O26" s="96" t="s">
        <v>62</v>
      </c>
      <c r="P26" s="96" t="s">
        <v>59</v>
      </c>
      <c r="Q26" s="96" t="s">
        <v>59</v>
      </c>
      <c r="R26" s="96" t="s">
        <v>59</v>
      </c>
      <c r="S26" s="96" t="s">
        <v>59</v>
      </c>
      <c r="T26" s="146" t="s">
        <v>59</v>
      </c>
      <c r="U26" s="96" t="s">
        <v>59</v>
      </c>
      <c r="V26" s="96" t="s">
        <v>59</v>
      </c>
      <c r="W26" s="96" t="s">
        <v>59</v>
      </c>
      <c r="X26" s="96" t="s">
        <v>59</v>
      </c>
      <c r="Y26" s="96" t="s">
        <v>59</v>
      </c>
      <c r="Z26" s="96" t="s">
        <v>59</v>
      </c>
      <c r="AA26" s="240" t="s">
        <v>59</v>
      </c>
      <c r="AB26" s="240" t="s">
        <v>59</v>
      </c>
      <c r="AC26" s="240" t="s">
        <v>59</v>
      </c>
      <c r="AD26" s="294" t="s">
        <v>59</v>
      </c>
      <c r="AE26" s="416" t="s">
        <v>35</v>
      </c>
    </row>
    <row r="27" spans="1:31" ht="12.75" customHeight="1">
      <c r="A27" s="8"/>
      <c r="B27" s="10" t="s">
        <v>43</v>
      </c>
      <c r="C27" s="45">
        <v>1209</v>
      </c>
      <c r="D27" s="42">
        <v>1798</v>
      </c>
      <c r="E27" s="42">
        <v>2092</v>
      </c>
      <c r="F27" s="42">
        <v>2092</v>
      </c>
      <c r="G27" s="42">
        <v>2134</v>
      </c>
      <c r="H27" s="42">
        <v>2167</v>
      </c>
      <c r="I27" s="42">
        <v>2208</v>
      </c>
      <c r="J27" s="42">
        <v>2208</v>
      </c>
      <c r="K27" s="42">
        <v>2208</v>
      </c>
      <c r="L27" s="42">
        <v>2225</v>
      </c>
      <c r="M27" s="42">
        <v>2225</v>
      </c>
      <c r="N27" s="42">
        <v>2291</v>
      </c>
      <c r="O27" s="42">
        <v>2265</v>
      </c>
      <c r="P27" s="42">
        <v>2499</v>
      </c>
      <c r="Q27" s="42">
        <v>2516</v>
      </c>
      <c r="R27" s="42">
        <v>2541</v>
      </c>
      <c r="S27" s="42">
        <v>2585</v>
      </c>
      <c r="T27" s="147">
        <v>2600</v>
      </c>
      <c r="U27" s="42">
        <v>2604</v>
      </c>
      <c r="V27" s="42">
        <v>2582</v>
      </c>
      <c r="W27" s="42">
        <v>2637</v>
      </c>
      <c r="X27" s="42">
        <v>2646</v>
      </c>
      <c r="Y27" s="42">
        <v>2651</v>
      </c>
      <c r="Z27" s="42">
        <v>2658</v>
      </c>
      <c r="AA27" s="42">
        <v>2666</v>
      </c>
      <c r="AB27" s="42">
        <v>2678</v>
      </c>
      <c r="AC27" s="42">
        <v>2730</v>
      </c>
      <c r="AD27" s="393">
        <v>2756</v>
      </c>
      <c r="AE27" s="418" t="s">
        <v>43</v>
      </c>
    </row>
    <row r="28" spans="1:31" ht="12.75" customHeight="1">
      <c r="A28" s="8"/>
      <c r="B28" s="54" t="s">
        <v>52</v>
      </c>
      <c r="C28" s="95">
        <v>478</v>
      </c>
      <c r="D28" s="96">
        <v>938</v>
      </c>
      <c r="E28" s="96">
        <v>1445</v>
      </c>
      <c r="F28" s="96">
        <v>1450</v>
      </c>
      <c r="G28" s="96">
        <v>1554</v>
      </c>
      <c r="H28" s="96">
        <v>1557</v>
      </c>
      <c r="I28" s="96">
        <v>1559</v>
      </c>
      <c r="J28" s="96">
        <v>1596</v>
      </c>
      <c r="K28" s="96">
        <v>1607</v>
      </c>
      <c r="L28" s="96">
        <v>1613</v>
      </c>
      <c r="M28" s="96">
        <v>1613</v>
      </c>
      <c r="N28" s="96">
        <v>1634</v>
      </c>
      <c r="O28" s="96">
        <v>1633</v>
      </c>
      <c r="P28" s="96">
        <v>1645</v>
      </c>
      <c r="Q28" s="96">
        <v>1645</v>
      </c>
      <c r="R28" s="96">
        <v>1670</v>
      </c>
      <c r="S28" s="96">
        <v>1677</v>
      </c>
      <c r="T28" s="146">
        <v>1677</v>
      </c>
      <c r="U28" s="96">
        <v>1678</v>
      </c>
      <c r="V28" s="96">
        <v>1696</v>
      </c>
      <c r="W28" s="96">
        <v>1696</v>
      </c>
      <c r="X28" s="96">
        <v>1696</v>
      </c>
      <c r="Y28" s="96">
        <v>1719</v>
      </c>
      <c r="Z28" s="96">
        <v>1719</v>
      </c>
      <c r="AA28" s="96">
        <v>1719</v>
      </c>
      <c r="AB28" s="96">
        <v>1719</v>
      </c>
      <c r="AC28" s="96">
        <v>1719</v>
      </c>
      <c r="AD28" s="294">
        <v>1719</v>
      </c>
      <c r="AE28" s="416" t="s">
        <v>52</v>
      </c>
    </row>
    <row r="29" spans="1:31" ht="12.75" customHeight="1">
      <c r="A29" s="8"/>
      <c r="B29" s="10" t="s">
        <v>36</v>
      </c>
      <c r="C29" s="45"/>
      <c r="D29" s="42"/>
      <c r="E29" s="42">
        <v>257</v>
      </c>
      <c r="F29" s="42">
        <v>239</v>
      </c>
      <c r="G29" s="42">
        <v>257</v>
      </c>
      <c r="H29" s="42">
        <v>231</v>
      </c>
      <c r="I29" s="42">
        <v>245</v>
      </c>
      <c r="J29" s="42">
        <v>246</v>
      </c>
      <c r="K29" s="42">
        <v>258</v>
      </c>
      <c r="L29" s="42">
        <v>264</v>
      </c>
      <c r="M29" s="42">
        <v>268</v>
      </c>
      <c r="N29" s="42">
        <v>317</v>
      </c>
      <c r="O29" s="42">
        <v>358</v>
      </c>
      <c r="P29" s="42">
        <v>398</v>
      </c>
      <c r="Q29" s="42">
        <v>405</v>
      </c>
      <c r="R29" s="42">
        <v>484</v>
      </c>
      <c r="S29" s="42">
        <v>552</v>
      </c>
      <c r="T29" s="147">
        <v>552</v>
      </c>
      <c r="U29" s="42">
        <v>582.5</v>
      </c>
      <c r="V29" s="42">
        <v>662.5</v>
      </c>
      <c r="W29" s="42">
        <v>765</v>
      </c>
      <c r="X29" s="42">
        <v>849</v>
      </c>
      <c r="Y29" s="42">
        <v>857</v>
      </c>
      <c r="Z29" s="42">
        <v>1070</v>
      </c>
      <c r="AA29" s="42">
        <v>1365</v>
      </c>
      <c r="AB29" s="42">
        <v>1482</v>
      </c>
      <c r="AC29" s="42">
        <v>1556</v>
      </c>
      <c r="AD29" s="393">
        <v>1559</v>
      </c>
      <c r="AE29" s="418" t="s">
        <v>36</v>
      </c>
    </row>
    <row r="30" spans="1:31" ht="12.75" customHeight="1">
      <c r="A30" s="8"/>
      <c r="B30" s="54" t="s">
        <v>53</v>
      </c>
      <c r="C30" s="95">
        <v>66</v>
      </c>
      <c r="D30" s="96">
        <v>132</v>
      </c>
      <c r="E30" s="96">
        <v>316</v>
      </c>
      <c r="F30" s="96">
        <v>474</v>
      </c>
      <c r="G30" s="96">
        <v>520</v>
      </c>
      <c r="H30" s="96">
        <v>579</v>
      </c>
      <c r="I30" s="96">
        <v>587</v>
      </c>
      <c r="J30" s="97">
        <v>687</v>
      </c>
      <c r="K30" s="97">
        <v>710</v>
      </c>
      <c r="L30" s="97">
        <v>797</v>
      </c>
      <c r="M30" s="97">
        <v>1252</v>
      </c>
      <c r="N30" s="97">
        <v>1441</v>
      </c>
      <c r="O30" s="97">
        <v>1482</v>
      </c>
      <c r="P30" s="97">
        <v>1659</v>
      </c>
      <c r="Q30" s="97">
        <v>1836</v>
      </c>
      <c r="R30" s="97">
        <v>2002</v>
      </c>
      <c r="S30" s="97">
        <v>2091</v>
      </c>
      <c r="T30" s="148">
        <v>2341</v>
      </c>
      <c r="U30" s="97">
        <v>2545</v>
      </c>
      <c r="V30" s="97">
        <v>2613</v>
      </c>
      <c r="W30" s="97">
        <v>2623</v>
      </c>
      <c r="X30" s="240">
        <v>2705</v>
      </c>
      <c r="Y30" s="240">
        <v>2737</v>
      </c>
      <c r="Z30" s="240">
        <v>2737</v>
      </c>
      <c r="AA30" s="240">
        <v>2988</v>
      </c>
      <c r="AB30" s="240">
        <v>3065</v>
      </c>
      <c r="AC30" s="240">
        <v>3065</v>
      </c>
      <c r="AD30" s="294">
        <v>3065</v>
      </c>
      <c r="AE30" s="416" t="s">
        <v>53</v>
      </c>
    </row>
    <row r="31" spans="1:31" ht="12.75" customHeight="1">
      <c r="A31" s="8"/>
      <c r="B31" s="10" t="s">
        <v>37</v>
      </c>
      <c r="C31" s="45"/>
      <c r="D31" s="42"/>
      <c r="E31" s="42">
        <v>113</v>
      </c>
      <c r="F31" s="42">
        <v>113</v>
      </c>
      <c r="G31" s="42">
        <v>113</v>
      </c>
      <c r="H31" s="42">
        <v>113</v>
      </c>
      <c r="I31" s="42">
        <v>113</v>
      </c>
      <c r="J31" s="42">
        <v>113</v>
      </c>
      <c r="K31" s="42">
        <v>113</v>
      </c>
      <c r="L31" s="42">
        <v>113</v>
      </c>
      <c r="M31" s="42">
        <v>113</v>
      </c>
      <c r="N31" s="42">
        <v>113</v>
      </c>
      <c r="O31" s="42">
        <v>113</v>
      </c>
      <c r="P31" s="42">
        <v>113</v>
      </c>
      <c r="Q31" s="42">
        <v>113</v>
      </c>
      <c r="R31" s="42">
        <v>113</v>
      </c>
      <c r="S31" s="42">
        <v>228</v>
      </c>
      <c r="T31" s="147">
        <v>228</v>
      </c>
      <c r="U31" s="42">
        <v>228</v>
      </c>
      <c r="V31" s="42">
        <v>281</v>
      </c>
      <c r="W31" s="42">
        <v>281</v>
      </c>
      <c r="X31" s="42">
        <v>321</v>
      </c>
      <c r="Y31" s="42">
        <v>332</v>
      </c>
      <c r="Z31" s="42">
        <v>350</v>
      </c>
      <c r="AA31" s="42">
        <v>550</v>
      </c>
      <c r="AB31" s="42">
        <v>644</v>
      </c>
      <c r="AC31" s="42">
        <v>683</v>
      </c>
      <c r="AD31" s="393">
        <v>747</v>
      </c>
      <c r="AE31" s="418" t="s">
        <v>37</v>
      </c>
    </row>
    <row r="32" spans="1:31" ht="12.75" customHeight="1">
      <c r="A32" s="8"/>
      <c r="B32" s="54" t="s">
        <v>39</v>
      </c>
      <c r="C32" s="95"/>
      <c r="D32" s="96"/>
      <c r="E32" s="96">
        <v>228</v>
      </c>
      <c r="F32" s="97">
        <v>246</v>
      </c>
      <c r="G32" s="97">
        <v>254</v>
      </c>
      <c r="H32" s="96">
        <v>268</v>
      </c>
      <c r="I32" s="96">
        <v>277</v>
      </c>
      <c r="J32" s="96">
        <v>293</v>
      </c>
      <c r="K32" s="96">
        <v>310</v>
      </c>
      <c r="L32" s="96">
        <v>330</v>
      </c>
      <c r="M32" s="96">
        <v>369</v>
      </c>
      <c r="N32" s="96">
        <v>399</v>
      </c>
      <c r="O32" s="96">
        <v>427</v>
      </c>
      <c r="P32" s="96">
        <v>435</v>
      </c>
      <c r="Q32" s="96">
        <v>457</v>
      </c>
      <c r="R32" s="96">
        <v>477</v>
      </c>
      <c r="S32" s="96">
        <v>483</v>
      </c>
      <c r="T32" s="146">
        <v>569</v>
      </c>
      <c r="U32" s="96">
        <v>579</v>
      </c>
      <c r="V32" s="96">
        <v>579</v>
      </c>
      <c r="W32" s="96">
        <v>696</v>
      </c>
      <c r="X32" s="96">
        <v>747</v>
      </c>
      <c r="Y32" s="96">
        <v>771</v>
      </c>
      <c r="Z32" s="96">
        <v>768</v>
      </c>
      <c r="AA32" s="96">
        <v>769</v>
      </c>
      <c r="AB32" s="96">
        <v>770</v>
      </c>
      <c r="AC32" s="96">
        <v>770</v>
      </c>
      <c r="AD32" s="392">
        <v>773</v>
      </c>
      <c r="AE32" s="416" t="s">
        <v>39</v>
      </c>
    </row>
    <row r="33" spans="1:31" ht="12.75" customHeight="1">
      <c r="A33" s="8"/>
      <c r="B33" s="10" t="s">
        <v>38</v>
      </c>
      <c r="C33" s="46"/>
      <c r="D33" s="47"/>
      <c r="E33" s="42">
        <v>192</v>
      </c>
      <c r="F33" s="42">
        <v>198</v>
      </c>
      <c r="G33" s="42">
        <v>198</v>
      </c>
      <c r="H33" s="42">
        <v>198</v>
      </c>
      <c r="I33" s="42">
        <v>198</v>
      </c>
      <c r="J33" s="42">
        <v>198</v>
      </c>
      <c r="K33" s="42">
        <v>215</v>
      </c>
      <c r="L33" s="42">
        <v>219</v>
      </c>
      <c r="M33" s="42">
        <v>292</v>
      </c>
      <c r="N33" s="42">
        <v>295</v>
      </c>
      <c r="O33" s="42">
        <v>296</v>
      </c>
      <c r="P33" s="42">
        <v>296</v>
      </c>
      <c r="Q33" s="42">
        <v>302</v>
      </c>
      <c r="R33" s="42">
        <v>313</v>
      </c>
      <c r="S33" s="42">
        <v>316</v>
      </c>
      <c r="T33" s="147">
        <v>328</v>
      </c>
      <c r="U33" s="42">
        <v>328</v>
      </c>
      <c r="V33" s="42">
        <v>365</v>
      </c>
      <c r="W33" s="42">
        <v>384</v>
      </c>
      <c r="X33" s="42">
        <v>391</v>
      </c>
      <c r="Y33" s="42">
        <v>415.7</v>
      </c>
      <c r="Z33" s="42">
        <v>419.2</v>
      </c>
      <c r="AA33" s="42">
        <v>419.2</v>
      </c>
      <c r="AB33" s="42">
        <v>420</v>
      </c>
      <c r="AC33" s="42">
        <v>419.7</v>
      </c>
      <c r="AD33" s="393">
        <v>463.1</v>
      </c>
      <c r="AE33" s="418" t="s">
        <v>38</v>
      </c>
    </row>
    <row r="34" spans="1:31" ht="12.75" customHeight="1">
      <c r="A34" s="8"/>
      <c r="B34" s="54" t="s">
        <v>54</v>
      </c>
      <c r="C34" s="95">
        <v>108</v>
      </c>
      <c r="D34" s="96">
        <v>204</v>
      </c>
      <c r="E34" s="96">
        <v>225</v>
      </c>
      <c r="F34" s="96">
        <v>249</v>
      </c>
      <c r="G34" s="96">
        <v>318</v>
      </c>
      <c r="H34" s="96">
        <v>337</v>
      </c>
      <c r="I34" s="96">
        <v>388</v>
      </c>
      <c r="J34" s="96">
        <v>394</v>
      </c>
      <c r="K34" s="96">
        <v>431</v>
      </c>
      <c r="L34" s="96">
        <v>444</v>
      </c>
      <c r="M34" s="96">
        <v>473</v>
      </c>
      <c r="N34" s="96">
        <v>512</v>
      </c>
      <c r="O34" s="96">
        <v>549</v>
      </c>
      <c r="P34" s="96">
        <v>591</v>
      </c>
      <c r="Q34" s="96">
        <v>603</v>
      </c>
      <c r="R34" s="96">
        <v>653</v>
      </c>
      <c r="S34" s="96">
        <v>653</v>
      </c>
      <c r="T34" s="146">
        <v>693</v>
      </c>
      <c r="U34" s="96">
        <v>700</v>
      </c>
      <c r="V34" s="96">
        <v>700</v>
      </c>
      <c r="W34" s="96">
        <v>739</v>
      </c>
      <c r="X34" s="96">
        <v>765</v>
      </c>
      <c r="Y34" s="96">
        <v>779</v>
      </c>
      <c r="Z34" s="96">
        <v>790</v>
      </c>
      <c r="AA34" s="96">
        <v>780</v>
      </c>
      <c r="AB34" s="96">
        <v>810</v>
      </c>
      <c r="AC34" s="96">
        <v>881</v>
      </c>
      <c r="AD34" s="392">
        <v>881</v>
      </c>
      <c r="AE34" s="416" t="s">
        <v>54</v>
      </c>
    </row>
    <row r="35" spans="1:31" ht="12.75" customHeight="1">
      <c r="A35" s="8"/>
      <c r="B35" s="10" t="s">
        <v>55</v>
      </c>
      <c r="C35" s="45">
        <v>403</v>
      </c>
      <c r="D35" s="42">
        <v>850</v>
      </c>
      <c r="E35" s="42">
        <v>939</v>
      </c>
      <c r="F35" s="42">
        <v>968</v>
      </c>
      <c r="G35" s="42">
        <v>1005</v>
      </c>
      <c r="H35" s="42">
        <v>1061</v>
      </c>
      <c r="I35" s="42">
        <v>1125</v>
      </c>
      <c r="J35" s="42">
        <v>1262</v>
      </c>
      <c r="K35" s="42">
        <v>1350</v>
      </c>
      <c r="L35" s="42">
        <v>1423</v>
      </c>
      <c r="M35" s="42">
        <v>1439</v>
      </c>
      <c r="N35" s="42">
        <v>1484</v>
      </c>
      <c r="O35" s="42">
        <v>1499</v>
      </c>
      <c r="P35" s="42">
        <v>1507</v>
      </c>
      <c r="Q35" s="42">
        <v>1544</v>
      </c>
      <c r="R35" s="42">
        <v>1591</v>
      </c>
      <c r="S35" s="42">
        <v>1700</v>
      </c>
      <c r="T35" s="42">
        <v>1700</v>
      </c>
      <c r="U35" s="42">
        <v>1740</v>
      </c>
      <c r="V35" s="42">
        <v>1806</v>
      </c>
      <c r="W35" s="42">
        <v>1857</v>
      </c>
      <c r="X35" s="42">
        <v>1923</v>
      </c>
      <c r="Y35" s="42">
        <v>1971</v>
      </c>
      <c r="Z35" s="42">
        <v>1957</v>
      </c>
      <c r="AA35" s="42">
        <v>2004</v>
      </c>
      <c r="AB35" s="306">
        <v>2044</v>
      </c>
      <c r="AC35" s="306">
        <v>2088</v>
      </c>
      <c r="AD35" s="388">
        <v>2119</v>
      </c>
      <c r="AE35" s="418" t="s">
        <v>55</v>
      </c>
    </row>
    <row r="36" spans="1:31" ht="12.75" customHeight="1">
      <c r="A36" s="8"/>
      <c r="B36" s="251" t="s">
        <v>44</v>
      </c>
      <c r="C36" s="252">
        <v>1183</v>
      </c>
      <c r="D36" s="253">
        <v>2683</v>
      </c>
      <c r="E36" s="253">
        <v>3211.6</v>
      </c>
      <c r="F36" s="253">
        <v>3243</v>
      </c>
      <c r="G36" s="253">
        <v>3321</v>
      </c>
      <c r="H36" s="253">
        <v>3352</v>
      </c>
      <c r="I36" s="253">
        <v>3379</v>
      </c>
      <c r="J36" s="253">
        <v>3408</v>
      </c>
      <c r="K36" s="253">
        <v>3488</v>
      </c>
      <c r="L36" s="253">
        <v>3531</v>
      </c>
      <c r="M36" s="253">
        <v>3559</v>
      </c>
      <c r="N36" s="253">
        <v>3577</v>
      </c>
      <c r="O36" s="253">
        <v>3586</v>
      </c>
      <c r="P36" s="253">
        <v>3588</v>
      </c>
      <c r="Q36" s="253">
        <v>3588</v>
      </c>
      <c r="R36" s="253">
        <v>3633</v>
      </c>
      <c r="S36" s="253">
        <v>3628.49</v>
      </c>
      <c r="T36" s="253">
        <v>3665.44</v>
      </c>
      <c r="U36" s="253">
        <v>3669.44</v>
      </c>
      <c r="V36" s="253">
        <v>3672.7999999999997</v>
      </c>
      <c r="W36" s="253">
        <v>3673.8999999999996</v>
      </c>
      <c r="X36" s="253">
        <v>3671.7999999999997</v>
      </c>
      <c r="Y36" s="253">
        <v>3685.6</v>
      </c>
      <c r="Z36" s="253">
        <v>3732.52</v>
      </c>
      <c r="AA36" s="253">
        <v>3756.02</v>
      </c>
      <c r="AB36" s="253">
        <f>3645+114.9</f>
        <v>3759.9</v>
      </c>
      <c r="AC36" s="253">
        <f>3654+114.9</f>
        <v>3768.9</v>
      </c>
      <c r="AD36" s="426">
        <f>AC36</f>
        <v>3768.9</v>
      </c>
      <c r="AE36" s="256" t="s">
        <v>44</v>
      </c>
    </row>
    <row r="37" spans="1:31" ht="12.75" customHeight="1">
      <c r="A37" s="8"/>
      <c r="B37" s="10" t="s">
        <v>131</v>
      </c>
      <c r="C37" s="4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1"/>
      <c r="Q37" s="42"/>
      <c r="R37" s="42"/>
      <c r="S37" s="42"/>
      <c r="T37" s="147"/>
      <c r="U37" s="42"/>
      <c r="V37" s="42"/>
      <c r="W37" s="42"/>
      <c r="X37" s="42"/>
      <c r="Y37" s="42"/>
      <c r="Z37" s="42"/>
      <c r="AA37" s="247"/>
      <c r="AB37" s="247"/>
      <c r="AC37" s="247"/>
      <c r="AD37" s="391"/>
      <c r="AE37" s="418" t="s">
        <v>131</v>
      </c>
    </row>
    <row r="38" spans="1:31" ht="12.75" customHeight="1">
      <c r="A38" s="8"/>
      <c r="B38" s="224" t="s">
        <v>129</v>
      </c>
      <c r="C38" s="243"/>
      <c r="D38" s="244"/>
      <c r="E38" s="244" t="s">
        <v>59</v>
      </c>
      <c r="F38" s="244" t="s">
        <v>59</v>
      </c>
      <c r="G38" s="244" t="s">
        <v>59</v>
      </c>
      <c r="H38" s="244" t="s">
        <v>59</v>
      </c>
      <c r="I38" s="244" t="s">
        <v>59</v>
      </c>
      <c r="J38" s="244" t="s">
        <v>59</v>
      </c>
      <c r="K38" s="244" t="s">
        <v>59</v>
      </c>
      <c r="L38" s="244" t="s">
        <v>59</v>
      </c>
      <c r="M38" s="244" t="s">
        <v>59</v>
      </c>
      <c r="N38" s="244" t="s">
        <v>59</v>
      </c>
      <c r="O38" s="244" t="s">
        <v>59</v>
      </c>
      <c r="P38" s="244" t="s">
        <v>59</v>
      </c>
      <c r="Q38" s="244" t="s">
        <v>59</v>
      </c>
      <c r="R38" s="244" t="s">
        <v>59</v>
      </c>
      <c r="S38" s="244" t="s">
        <v>59</v>
      </c>
      <c r="T38" s="246" t="s">
        <v>59</v>
      </c>
      <c r="U38" s="244" t="s">
        <v>59</v>
      </c>
      <c r="V38" s="249" t="s">
        <v>59</v>
      </c>
      <c r="W38" s="249" t="s">
        <v>59</v>
      </c>
      <c r="X38" s="249" t="s">
        <v>59</v>
      </c>
      <c r="Y38" s="249" t="s">
        <v>59</v>
      </c>
      <c r="Z38" s="249" t="s">
        <v>59</v>
      </c>
      <c r="AA38" s="249" t="s">
        <v>59</v>
      </c>
      <c r="AB38" s="249" t="s">
        <v>59</v>
      </c>
      <c r="AC38" s="249" t="s">
        <v>59</v>
      </c>
      <c r="AD38" s="371" t="s">
        <v>59</v>
      </c>
      <c r="AE38" s="419" t="s">
        <v>129</v>
      </c>
    </row>
    <row r="39" spans="1:31" ht="12.75" customHeight="1">
      <c r="A39" s="8"/>
      <c r="B39" s="10" t="s">
        <v>1</v>
      </c>
      <c r="C39" s="45"/>
      <c r="D39" s="42"/>
      <c r="E39" s="42">
        <v>83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>
        <v>145</v>
      </c>
      <c r="Q39" s="42">
        <v>208</v>
      </c>
      <c r="R39" s="42">
        <v>208</v>
      </c>
      <c r="S39" s="42">
        <v>208</v>
      </c>
      <c r="T39" s="147">
        <v>216</v>
      </c>
      <c r="U39" s="42">
        <v>216</v>
      </c>
      <c r="V39" s="42">
        <v>221</v>
      </c>
      <c r="W39" s="42">
        <v>237</v>
      </c>
      <c r="X39" s="42">
        <v>251</v>
      </c>
      <c r="Y39" s="42">
        <v>251</v>
      </c>
      <c r="Z39" s="42">
        <v>259</v>
      </c>
      <c r="AA39" s="42">
        <v>259</v>
      </c>
      <c r="AB39" s="42">
        <v>259</v>
      </c>
      <c r="AC39" s="42">
        <v>259</v>
      </c>
      <c r="AD39" s="393">
        <v>259</v>
      </c>
      <c r="AE39" s="418" t="s">
        <v>1</v>
      </c>
    </row>
    <row r="40" spans="1:31" ht="12.75" customHeight="1">
      <c r="A40" s="8"/>
      <c r="B40" s="224" t="s">
        <v>130</v>
      </c>
      <c r="C40" s="243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>
        <v>603</v>
      </c>
      <c r="S40" s="244">
        <v>603</v>
      </c>
      <c r="T40" s="244">
        <v>603</v>
      </c>
      <c r="U40" s="244">
        <v>603</v>
      </c>
      <c r="V40" s="244">
        <v>603</v>
      </c>
      <c r="W40" s="244">
        <v>603</v>
      </c>
      <c r="X40" s="244">
        <v>603</v>
      </c>
      <c r="Y40" s="244">
        <v>603</v>
      </c>
      <c r="Z40" s="244">
        <v>603</v>
      </c>
      <c r="AA40" s="244">
        <v>603</v>
      </c>
      <c r="AB40" s="244">
        <v>603</v>
      </c>
      <c r="AC40" s="244">
        <v>603</v>
      </c>
      <c r="AD40" s="394">
        <v>603</v>
      </c>
      <c r="AE40" s="419" t="s">
        <v>130</v>
      </c>
    </row>
    <row r="41" spans="1:31" ht="12.75" customHeight="1">
      <c r="A41" s="8"/>
      <c r="B41" s="12" t="s">
        <v>40</v>
      </c>
      <c r="C41" s="43"/>
      <c r="D41" s="44"/>
      <c r="E41" s="44">
        <v>281</v>
      </c>
      <c r="F41" s="44">
        <v>387</v>
      </c>
      <c r="G41" s="44">
        <v>757</v>
      </c>
      <c r="H41" s="44"/>
      <c r="I41" s="44"/>
      <c r="J41" s="44"/>
      <c r="K41" s="44"/>
      <c r="L41" s="44"/>
      <c r="M41" s="44"/>
      <c r="N41" s="44"/>
      <c r="O41" s="44"/>
      <c r="P41" s="44">
        <v>1851</v>
      </c>
      <c r="Q41" s="44">
        <v>1851</v>
      </c>
      <c r="R41" s="44">
        <v>1882</v>
      </c>
      <c r="S41" s="44">
        <v>1741</v>
      </c>
      <c r="T41" s="149">
        <v>1667</v>
      </c>
      <c r="U41" s="44">
        <v>1908</v>
      </c>
      <c r="V41" s="44">
        <v>1908</v>
      </c>
      <c r="W41" s="44">
        <v>1922</v>
      </c>
      <c r="X41" s="44">
        <v>2036</v>
      </c>
      <c r="Y41" s="44">
        <v>2080</v>
      </c>
      <c r="Z41" s="44">
        <v>2119</v>
      </c>
      <c r="AA41" s="44">
        <v>2127</v>
      </c>
      <c r="AB41" s="44">
        <v>2127</v>
      </c>
      <c r="AC41" s="44">
        <v>2282</v>
      </c>
      <c r="AD41" s="177">
        <v>2159</v>
      </c>
      <c r="AE41" s="166" t="s">
        <v>40</v>
      </c>
    </row>
    <row r="42" spans="1:31" ht="12.75" customHeight="1">
      <c r="A42" s="8"/>
      <c r="B42" s="290" t="s">
        <v>26</v>
      </c>
      <c r="C42" s="291" t="s">
        <v>59</v>
      </c>
      <c r="D42" s="292" t="s">
        <v>59</v>
      </c>
      <c r="E42" s="244" t="s">
        <v>59</v>
      </c>
      <c r="F42" s="244" t="s">
        <v>59</v>
      </c>
      <c r="G42" s="244" t="s">
        <v>59</v>
      </c>
      <c r="H42" s="244" t="s">
        <v>59</v>
      </c>
      <c r="I42" s="244" t="s">
        <v>59</v>
      </c>
      <c r="J42" s="244" t="s">
        <v>59</v>
      </c>
      <c r="K42" s="244" t="s">
        <v>59</v>
      </c>
      <c r="L42" s="244" t="s">
        <v>59</v>
      </c>
      <c r="M42" s="244" t="s">
        <v>59</v>
      </c>
      <c r="N42" s="244" t="s">
        <v>59</v>
      </c>
      <c r="O42" s="244" t="s">
        <v>62</v>
      </c>
      <c r="P42" s="244" t="s">
        <v>59</v>
      </c>
      <c r="Q42" s="244" t="s">
        <v>59</v>
      </c>
      <c r="R42" s="244" t="s">
        <v>59</v>
      </c>
      <c r="S42" s="244" t="s">
        <v>59</v>
      </c>
      <c r="T42" s="246">
        <v>11</v>
      </c>
      <c r="U42" s="244">
        <v>11</v>
      </c>
      <c r="V42" s="244">
        <v>11</v>
      </c>
      <c r="W42" s="244">
        <v>11</v>
      </c>
      <c r="X42" s="244">
        <v>11</v>
      </c>
      <c r="Y42" s="244">
        <v>11</v>
      </c>
      <c r="Z42" s="289">
        <v>11</v>
      </c>
      <c r="AA42" s="289">
        <v>11</v>
      </c>
      <c r="AB42" s="289">
        <v>11</v>
      </c>
      <c r="AC42" s="387">
        <v>11</v>
      </c>
      <c r="AD42" s="387">
        <v>11</v>
      </c>
      <c r="AE42" s="290" t="s">
        <v>26</v>
      </c>
    </row>
    <row r="43" spans="1:31" ht="12.75" customHeight="1">
      <c r="A43" s="8"/>
      <c r="B43" s="10" t="s">
        <v>56</v>
      </c>
      <c r="C43" s="45">
        <v>41</v>
      </c>
      <c r="D43" s="42">
        <v>57</v>
      </c>
      <c r="E43" s="42">
        <v>73</v>
      </c>
      <c r="F43" s="42"/>
      <c r="G43" s="42"/>
      <c r="H43" s="42"/>
      <c r="I43" s="42">
        <v>94</v>
      </c>
      <c r="J43" s="42">
        <v>107</v>
      </c>
      <c r="K43" s="42">
        <v>103</v>
      </c>
      <c r="L43" s="42">
        <v>109</v>
      </c>
      <c r="M43" s="42">
        <v>128</v>
      </c>
      <c r="N43" s="42">
        <v>128</v>
      </c>
      <c r="O43" s="42">
        <v>144</v>
      </c>
      <c r="P43" s="42">
        <v>143</v>
      </c>
      <c r="Q43" s="42">
        <v>173</v>
      </c>
      <c r="R43" s="247">
        <v>194</v>
      </c>
      <c r="S43" s="42">
        <v>194</v>
      </c>
      <c r="T43" s="147">
        <v>264</v>
      </c>
      <c r="U43" s="42">
        <v>271</v>
      </c>
      <c r="V43" s="42">
        <v>239</v>
      </c>
      <c r="W43" s="42">
        <v>253</v>
      </c>
      <c r="X43" s="42">
        <v>344</v>
      </c>
      <c r="Y43" s="42">
        <v>381</v>
      </c>
      <c r="Z43" s="42">
        <v>393</v>
      </c>
      <c r="AA43" s="42">
        <v>392</v>
      </c>
      <c r="AB43" s="247">
        <v>392</v>
      </c>
      <c r="AC43" s="247">
        <v>392</v>
      </c>
      <c r="AD43" s="247">
        <v>392</v>
      </c>
      <c r="AE43" s="10" t="s">
        <v>56</v>
      </c>
    </row>
    <row r="44" spans="1:31" ht="12.75" customHeight="1">
      <c r="A44" s="8"/>
      <c r="B44" s="251" t="s">
        <v>27</v>
      </c>
      <c r="C44" s="252"/>
      <c r="D44" s="253"/>
      <c r="E44" s="253">
        <v>1148</v>
      </c>
      <c r="F44" s="253">
        <v>1152</v>
      </c>
      <c r="G44" s="253">
        <v>1164</v>
      </c>
      <c r="H44" s="253">
        <v>1184</v>
      </c>
      <c r="I44" s="253">
        <v>1184</v>
      </c>
      <c r="J44" s="253">
        <v>1197</v>
      </c>
      <c r="K44" s="253">
        <v>1244</v>
      </c>
      <c r="L44" s="253">
        <v>1244</v>
      </c>
      <c r="M44" s="253">
        <v>1262</v>
      </c>
      <c r="N44" s="253">
        <v>1267</v>
      </c>
      <c r="O44" s="253">
        <v>1270</v>
      </c>
      <c r="P44" s="253">
        <v>1305</v>
      </c>
      <c r="Q44" s="253">
        <v>1304</v>
      </c>
      <c r="R44" s="253">
        <v>1351</v>
      </c>
      <c r="S44" s="253">
        <v>1341</v>
      </c>
      <c r="T44" s="254">
        <v>1358</v>
      </c>
      <c r="U44" s="253">
        <v>1361</v>
      </c>
      <c r="V44" s="253">
        <v>1383</v>
      </c>
      <c r="W44" s="253">
        <v>1383</v>
      </c>
      <c r="X44" s="253">
        <v>1406</v>
      </c>
      <c r="Y44" s="253">
        <v>1406</v>
      </c>
      <c r="Z44" s="253">
        <v>1415</v>
      </c>
      <c r="AA44" s="253">
        <v>1419</v>
      </c>
      <c r="AB44" s="253">
        <v>1419</v>
      </c>
      <c r="AC44" s="253">
        <v>1429</v>
      </c>
      <c r="AD44" s="255">
        <v>1440</v>
      </c>
      <c r="AE44" s="256" t="s">
        <v>27</v>
      </c>
    </row>
    <row r="45" spans="2:30" ht="44.25" customHeight="1">
      <c r="B45" s="441" t="s">
        <v>135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0"/>
      <c r="Y45" s="40"/>
      <c r="Z45" s="40"/>
      <c r="AA45" s="40"/>
      <c r="AB45" s="40"/>
      <c r="AC45" s="40"/>
      <c r="AD45" s="40"/>
    </row>
    <row r="46" spans="2:17" ht="12.75" customHeight="1">
      <c r="B46" s="5" t="s">
        <v>120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ht="12.75" customHeight="1">
      <c r="B47" s="170" t="s">
        <v>109</v>
      </c>
    </row>
    <row r="48" spans="2:50" ht="12.75" customHeight="1">
      <c r="B48" s="172" t="s">
        <v>107</v>
      </c>
      <c r="AF48" s="159">
        <v>1994</v>
      </c>
      <c r="AG48" s="159">
        <v>1995</v>
      </c>
      <c r="AH48" s="159">
        <v>1996</v>
      </c>
      <c r="AI48" s="159">
        <v>1997</v>
      </c>
      <c r="AJ48" s="159">
        <v>1998</v>
      </c>
      <c r="AK48" s="159">
        <v>1999</v>
      </c>
      <c r="AL48" s="159">
        <v>2000</v>
      </c>
      <c r="AM48" s="159">
        <v>2001</v>
      </c>
      <c r="AN48" s="159">
        <v>2002</v>
      </c>
      <c r="AO48" s="159">
        <v>2003</v>
      </c>
      <c r="AP48" s="159">
        <v>2004</v>
      </c>
      <c r="AQ48" s="159">
        <v>2005</v>
      </c>
      <c r="AR48" s="159">
        <v>2006</v>
      </c>
      <c r="AS48" s="159">
        <v>2007</v>
      </c>
      <c r="AT48" s="159">
        <v>2008</v>
      </c>
      <c r="AU48" s="159">
        <v>2009</v>
      </c>
      <c r="AV48" s="159">
        <v>2010</v>
      </c>
      <c r="AW48" s="159">
        <v>2011</v>
      </c>
      <c r="AX48" s="159">
        <v>2012</v>
      </c>
    </row>
    <row r="49" spans="2:50" ht="12.75" customHeight="1">
      <c r="B49" s="170" t="s">
        <v>108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AF49" s="2">
        <v>3269</v>
      </c>
      <c r="AG49" s="2">
        <v>3298</v>
      </c>
      <c r="AH49" s="2">
        <v>3378</v>
      </c>
      <c r="AI49" s="2">
        <v>3421</v>
      </c>
      <c r="AJ49" s="2">
        <v>3449</v>
      </c>
      <c r="AK49" s="2">
        <v>3467</v>
      </c>
      <c r="AL49" s="2">
        <v>3476</v>
      </c>
      <c r="AM49" s="2">
        <v>3478</v>
      </c>
      <c r="AN49" s="2">
        <v>3478</v>
      </c>
      <c r="AO49" s="2">
        <v>3523</v>
      </c>
      <c r="AP49" s="2">
        <v>3518.49</v>
      </c>
      <c r="AQ49" s="2">
        <v>3555.44</v>
      </c>
      <c r="AR49" s="2">
        <v>3559.44</v>
      </c>
      <c r="AS49" s="2">
        <v>3558.6</v>
      </c>
      <c r="AT49" s="2">
        <v>3559.7</v>
      </c>
      <c r="AU49" s="2">
        <v>3557.6</v>
      </c>
      <c r="AV49" s="2">
        <v>3570.2</v>
      </c>
      <c r="AW49" s="2">
        <v>3617.02</v>
      </c>
      <c r="AX49" s="2">
        <v>3641.12</v>
      </c>
    </row>
    <row r="50" spans="2:50" ht="12.75" customHeight="1">
      <c r="B50" s="230" t="s">
        <v>137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AF50" s="2">
        <v>110</v>
      </c>
      <c r="AG50" s="2">
        <v>110</v>
      </c>
      <c r="AH50" s="2">
        <v>110</v>
      </c>
      <c r="AI50" s="2">
        <v>110</v>
      </c>
      <c r="AJ50" s="2">
        <v>110</v>
      </c>
      <c r="AK50" s="2">
        <v>110</v>
      </c>
      <c r="AL50" s="2">
        <v>110</v>
      </c>
      <c r="AM50" s="2">
        <v>110</v>
      </c>
      <c r="AN50" s="2">
        <v>110</v>
      </c>
      <c r="AO50" s="2">
        <v>110</v>
      </c>
      <c r="AP50" s="2">
        <v>110</v>
      </c>
      <c r="AQ50" s="2">
        <v>110</v>
      </c>
      <c r="AR50" s="2">
        <v>110</v>
      </c>
      <c r="AS50" s="2">
        <v>114.2</v>
      </c>
      <c r="AT50" s="2">
        <v>114.2</v>
      </c>
      <c r="AU50" s="2">
        <v>114.2</v>
      </c>
      <c r="AV50" s="2">
        <v>115.4</v>
      </c>
      <c r="AW50" s="2">
        <v>115.5</v>
      </c>
      <c r="AX50" s="2">
        <v>114.9</v>
      </c>
    </row>
    <row r="51" spans="32:50" ht="11.25">
      <c r="AF51" s="2">
        <f aca="true" t="shared" si="6" ref="AF51:AW51">SUM(AF49:AF50)</f>
        <v>3379</v>
      </c>
      <c r="AG51" s="2">
        <f t="shared" si="6"/>
        <v>3408</v>
      </c>
      <c r="AH51" s="2">
        <f t="shared" si="6"/>
        <v>3488</v>
      </c>
      <c r="AI51" s="2">
        <f t="shared" si="6"/>
        <v>3531</v>
      </c>
      <c r="AJ51" s="2">
        <f t="shared" si="6"/>
        <v>3559</v>
      </c>
      <c r="AK51" s="2">
        <f t="shared" si="6"/>
        <v>3577</v>
      </c>
      <c r="AL51" s="2">
        <f t="shared" si="6"/>
        <v>3586</v>
      </c>
      <c r="AM51" s="2">
        <f t="shared" si="6"/>
        <v>3588</v>
      </c>
      <c r="AN51" s="2">
        <f t="shared" si="6"/>
        <v>3588</v>
      </c>
      <c r="AO51" s="2">
        <f t="shared" si="6"/>
        <v>3633</v>
      </c>
      <c r="AP51" s="2">
        <f t="shared" si="6"/>
        <v>3628.49</v>
      </c>
      <c r="AQ51" s="2">
        <f t="shared" si="6"/>
        <v>3665.44</v>
      </c>
      <c r="AR51" s="2">
        <f t="shared" si="6"/>
        <v>3669.44</v>
      </c>
      <c r="AS51" s="2">
        <f t="shared" si="6"/>
        <v>3672.7999999999997</v>
      </c>
      <c r="AT51" s="2">
        <f t="shared" si="6"/>
        <v>3673.8999999999996</v>
      </c>
      <c r="AU51" s="2">
        <f t="shared" si="6"/>
        <v>3671.7999999999997</v>
      </c>
      <c r="AV51" s="2">
        <f t="shared" si="6"/>
        <v>3685.6</v>
      </c>
      <c r="AW51" s="2">
        <f t="shared" si="6"/>
        <v>3732.52</v>
      </c>
      <c r="AX51" s="2">
        <f>SUM(AX49:AX50)</f>
        <v>3756.02</v>
      </c>
    </row>
  </sheetData>
  <sheetProtection/>
  <mergeCells count="4">
    <mergeCell ref="B1:C1"/>
    <mergeCell ref="B45:W45"/>
    <mergeCell ref="B2:AE2"/>
    <mergeCell ref="B3:AE3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1"/>
  <dimension ref="A1:L70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2.7109375" style="0" customWidth="1"/>
    <col min="2" max="2" width="4.28125" style="0" customWidth="1"/>
    <col min="3" max="6" width="10.7109375" style="0" customWidth="1"/>
    <col min="7" max="7" width="4.00390625" style="6" customWidth="1"/>
  </cols>
  <sheetData>
    <row r="1" spans="2:7" ht="15" customHeight="1">
      <c r="B1" s="447"/>
      <c r="C1" s="447"/>
      <c r="D1" s="34"/>
      <c r="E1" s="34"/>
      <c r="F1" s="448" t="s">
        <v>113</v>
      </c>
      <c r="G1" s="449"/>
    </row>
    <row r="2" spans="2:7" ht="30" customHeight="1">
      <c r="B2" s="450" t="s">
        <v>23</v>
      </c>
      <c r="C2" s="450"/>
      <c r="D2" s="450"/>
      <c r="E2" s="450"/>
      <c r="F2" s="450"/>
      <c r="G2" s="450"/>
    </row>
    <row r="3" spans="3:7" ht="15" customHeight="1">
      <c r="C3" s="451" t="s">
        <v>153</v>
      </c>
      <c r="D3" s="452"/>
      <c r="E3" s="452"/>
      <c r="F3" s="452"/>
      <c r="G3" s="395"/>
    </row>
    <row r="4" spans="2:7" ht="12.75" customHeight="1">
      <c r="B4" s="6"/>
      <c r="C4" s="444" t="s">
        <v>73</v>
      </c>
      <c r="D4" s="444" t="s">
        <v>83</v>
      </c>
      <c r="E4" s="444" t="s">
        <v>84</v>
      </c>
      <c r="F4" s="444" t="s">
        <v>85</v>
      </c>
      <c r="G4" s="182"/>
    </row>
    <row r="5" spans="2:7" ht="12.75" customHeight="1">
      <c r="B5" s="6"/>
      <c r="C5" s="445"/>
      <c r="D5" s="445"/>
      <c r="E5" s="445"/>
      <c r="F5" s="445"/>
      <c r="G5" s="182"/>
    </row>
    <row r="6" spans="2:7" ht="12.75">
      <c r="B6" s="6"/>
      <c r="C6" s="445"/>
      <c r="D6" s="445"/>
      <c r="E6" s="445"/>
      <c r="F6" s="445"/>
      <c r="G6" s="182"/>
    </row>
    <row r="7" spans="2:7" ht="7.5" customHeight="1">
      <c r="B7" s="6"/>
      <c r="C7" s="446"/>
      <c r="D7" s="446"/>
      <c r="E7" s="446"/>
      <c r="F7" s="446"/>
      <c r="G7" s="182"/>
    </row>
    <row r="8" spans="1:7" ht="12.75" customHeight="1">
      <c r="A8" s="8"/>
      <c r="B8" s="9" t="s">
        <v>45</v>
      </c>
      <c r="C8" s="299">
        <v>1763</v>
      </c>
      <c r="D8" s="300">
        <v>13229</v>
      </c>
      <c r="E8" s="300">
        <v>1349</v>
      </c>
      <c r="F8" s="301">
        <v>138869</v>
      </c>
      <c r="G8" s="9" t="s">
        <v>45</v>
      </c>
    </row>
    <row r="9" spans="1:7" ht="12.75" customHeight="1">
      <c r="A9" s="8"/>
      <c r="B9" s="54" t="s">
        <v>28</v>
      </c>
      <c r="C9" s="302">
        <v>734</v>
      </c>
      <c r="D9" s="240">
        <v>2954</v>
      </c>
      <c r="E9" s="303">
        <v>4025</v>
      </c>
      <c r="F9" s="304">
        <v>12140</v>
      </c>
      <c r="G9" s="54" t="s">
        <v>28</v>
      </c>
    </row>
    <row r="10" spans="1:7" ht="12.75" customHeight="1">
      <c r="A10" s="8"/>
      <c r="B10" s="10" t="s">
        <v>30</v>
      </c>
      <c r="C10" s="305">
        <v>776</v>
      </c>
      <c r="D10" s="306">
        <v>6244.9</v>
      </c>
      <c r="E10" s="306">
        <f>14586.7+34129.9</f>
        <v>48716.600000000006</v>
      </c>
      <c r="F10" s="307">
        <v>74919</v>
      </c>
      <c r="G10" s="10" t="s">
        <v>30</v>
      </c>
    </row>
    <row r="11" spans="1:7" ht="12.75" customHeight="1">
      <c r="A11" s="8"/>
      <c r="B11" s="224" t="s">
        <v>41</v>
      </c>
      <c r="C11" s="308">
        <v>1237</v>
      </c>
      <c r="D11" s="249">
        <v>2613</v>
      </c>
      <c r="E11" s="456">
        <v>70646</v>
      </c>
      <c r="F11" s="457"/>
      <c r="G11" s="224" t="s">
        <v>41</v>
      </c>
    </row>
    <row r="12" spans="1:7" ht="12.75" customHeight="1">
      <c r="A12" s="8"/>
      <c r="B12" s="10" t="s">
        <v>46</v>
      </c>
      <c r="C12" s="305">
        <v>12993</v>
      </c>
      <c r="D12" s="306">
        <v>38303</v>
      </c>
      <c r="E12" s="306">
        <v>178786</v>
      </c>
      <c r="F12" s="242"/>
      <c r="G12" s="10" t="s">
        <v>46</v>
      </c>
    </row>
    <row r="13" spans="1:7" ht="12.75" customHeight="1">
      <c r="A13" s="8"/>
      <c r="B13" s="54" t="s">
        <v>31</v>
      </c>
      <c r="C13" s="302">
        <v>147</v>
      </c>
      <c r="D13" s="240">
        <f>1607-C13+2405</f>
        <v>3865</v>
      </c>
      <c r="E13" s="240">
        <f>12484+99</f>
        <v>12583</v>
      </c>
      <c r="F13" s="238">
        <f>58828-E13-D13-C13</f>
        <v>42233</v>
      </c>
      <c r="G13" s="54" t="s">
        <v>31</v>
      </c>
    </row>
    <row r="14" spans="1:7" ht="12.75" customHeight="1">
      <c r="A14" s="8"/>
      <c r="B14" s="10" t="s">
        <v>49</v>
      </c>
      <c r="C14" s="305">
        <v>916</v>
      </c>
      <c r="D14" s="306">
        <v>4390</v>
      </c>
      <c r="E14" s="306">
        <v>13120</v>
      </c>
      <c r="F14" s="307">
        <v>80472</v>
      </c>
      <c r="G14" s="10" t="s">
        <v>49</v>
      </c>
    </row>
    <row r="15" spans="1:7" ht="12.75" customHeight="1">
      <c r="A15" s="8"/>
      <c r="B15" s="54" t="s">
        <v>42</v>
      </c>
      <c r="C15" s="302">
        <v>1589.4</v>
      </c>
      <c r="D15" s="240">
        <v>9299</v>
      </c>
      <c r="E15" s="240">
        <v>30864</v>
      </c>
      <c r="F15" s="238">
        <v>75600</v>
      </c>
      <c r="G15" s="54" t="s">
        <v>42</v>
      </c>
    </row>
    <row r="16" spans="1:7" ht="12.75" customHeight="1">
      <c r="A16" s="8"/>
      <c r="B16" s="10" t="s">
        <v>47</v>
      </c>
      <c r="C16" s="305">
        <v>15336</v>
      </c>
      <c r="D16" s="306">
        <f>14387+563</f>
        <v>14950</v>
      </c>
      <c r="E16" s="306">
        <f>67356+756+367+67238</f>
        <v>135717</v>
      </c>
      <c r="F16" s="242">
        <v>501053</v>
      </c>
      <c r="G16" s="10" t="s">
        <v>47</v>
      </c>
    </row>
    <row r="17" spans="1:7" ht="12.75" customHeight="1">
      <c r="A17" s="8"/>
      <c r="B17" s="54" t="s">
        <v>48</v>
      </c>
      <c r="C17" s="302">
        <v>11599</v>
      </c>
      <c r="D17" s="240">
        <v>9633</v>
      </c>
      <c r="E17" s="240">
        <v>379725</v>
      </c>
      <c r="F17" s="238">
        <v>687789</v>
      </c>
      <c r="G17" s="54" t="s">
        <v>48</v>
      </c>
    </row>
    <row r="18" spans="1:7" ht="12.75" customHeight="1">
      <c r="A18" s="8"/>
      <c r="B18" s="10" t="s">
        <v>60</v>
      </c>
      <c r="C18" s="309">
        <v>1310</v>
      </c>
      <c r="D18" s="306">
        <v>6758</v>
      </c>
      <c r="E18" s="306">
        <v>9640</v>
      </c>
      <c r="F18" s="307">
        <v>8998</v>
      </c>
      <c r="G18" s="10" t="s">
        <v>60</v>
      </c>
    </row>
    <row r="19" spans="1:7" ht="12.75" customHeight="1">
      <c r="A19" s="8"/>
      <c r="B19" s="224" t="s">
        <v>50</v>
      </c>
      <c r="C19" s="308">
        <v>6943</v>
      </c>
      <c r="D19" s="249">
        <v>21686</v>
      </c>
      <c r="E19" s="249">
        <v>155668</v>
      </c>
      <c r="F19" s="250">
        <v>74719</v>
      </c>
      <c r="G19" s="224" t="s">
        <v>50</v>
      </c>
    </row>
    <row r="20" spans="1:7" ht="12.75" customHeight="1">
      <c r="A20" s="8"/>
      <c r="B20" s="10" t="s">
        <v>29</v>
      </c>
      <c r="C20" s="305">
        <v>272</v>
      </c>
      <c r="D20" s="306">
        <f>2219</f>
        <v>2219</v>
      </c>
      <c r="E20" s="306">
        <f>1789+524</f>
        <v>2313</v>
      </c>
      <c r="F20" s="307">
        <f>4148+731+172</f>
        <v>5051</v>
      </c>
      <c r="G20" s="10" t="s">
        <v>29</v>
      </c>
    </row>
    <row r="21" spans="1:7" ht="12.75" customHeight="1">
      <c r="A21" s="8"/>
      <c r="B21" s="224" t="s">
        <v>33</v>
      </c>
      <c r="C21" s="310" t="s">
        <v>59</v>
      </c>
      <c r="D21" s="249">
        <v>1675</v>
      </c>
      <c r="E21" s="249">
        <f>4517+956</f>
        <v>5473</v>
      </c>
      <c r="F21" s="250">
        <f>2709+10274+5675+32803+24+500+3000+8696</f>
        <v>63681</v>
      </c>
      <c r="G21" s="224" t="s">
        <v>33</v>
      </c>
    </row>
    <row r="22" spans="1:7" ht="12.75" customHeight="1">
      <c r="A22" s="8"/>
      <c r="B22" s="10" t="s">
        <v>34</v>
      </c>
      <c r="C22" s="305">
        <v>309</v>
      </c>
      <c r="D22" s="311">
        <f>1750+4926-309</f>
        <v>6367</v>
      </c>
      <c r="E22" s="311">
        <v>14574</v>
      </c>
      <c r="F22" s="312">
        <v>51467</v>
      </c>
      <c r="G22" s="10" t="s">
        <v>34</v>
      </c>
    </row>
    <row r="23" spans="1:7" ht="12.75" customHeight="1">
      <c r="A23" s="8"/>
      <c r="B23" s="224" t="s">
        <v>51</v>
      </c>
      <c r="C23" s="308">
        <v>161</v>
      </c>
      <c r="D23" s="249">
        <v>837</v>
      </c>
      <c r="E23" s="456">
        <v>1891</v>
      </c>
      <c r="F23" s="458"/>
      <c r="G23" s="224" t="s">
        <v>51</v>
      </c>
    </row>
    <row r="24" spans="1:7" ht="12.75" customHeight="1">
      <c r="A24" s="8"/>
      <c r="B24" s="10" t="s">
        <v>32</v>
      </c>
      <c r="C24" s="305">
        <v>1883.9</v>
      </c>
      <c r="D24" s="459">
        <v>30040.8</v>
      </c>
      <c r="E24" s="459"/>
      <c r="F24" s="307">
        <v>172957.1</v>
      </c>
      <c r="G24" s="10" t="s">
        <v>32</v>
      </c>
    </row>
    <row r="25" spans="1:7" ht="12.75" customHeight="1">
      <c r="A25" s="8"/>
      <c r="B25" s="224" t="s">
        <v>35</v>
      </c>
      <c r="C25" s="310" t="s">
        <v>59</v>
      </c>
      <c r="D25" s="456">
        <v>2854</v>
      </c>
      <c r="E25" s="456"/>
      <c r="F25" s="457"/>
      <c r="G25" s="224" t="s">
        <v>35</v>
      </c>
    </row>
    <row r="26" spans="1:7" ht="12.75" customHeight="1">
      <c r="A26" s="8"/>
      <c r="B26" s="10" t="s">
        <v>43</v>
      </c>
      <c r="C26" s="305">
        <v>2756</v>
      </c>
      <c r="D26" s="306">
        <f>5340-C26</f>
        <v>2584</v>
      </c>
      <c r="E26" s="306">
        <v>7759</v>
      </c>
      <c r="F26" s="307">
        <v>126025</v>
      </c>
      <c r="G26" s="10" t="s">
        <v>43</v>
      </c>
    </row>
    <row r="27" spans="1:8" ht="12.75" customHeight="1">
      <c r="A27" s="8"/>
      <c r="B27" s="224" t="s">
        <v>52</v>
      </c>
      <c r="C27" s="308">
        <v>1719</v>
      </c>
      <c r="D27" s="249">
        <v>10344.556</v>
      </c>
      <c r="E27" s="249">
        <v>23680.891</v>
      </c>
      <c r="F27" s="250">
        <v>102462.762</v>
      </c>
      <c r="G27" s="224" t="s">
        <v>52</v>
      </c>
      <c r="H27" s="179"/>
    </row>
    <row r="28" spans="1:7" ht="12.75" customHeight="1">
      <c r="A28" s="8"/>
      <c r="B28" s="10" t="s">
        <v>36</v>
      </c>
      <c r="C28" s="305">
        <v>1559</v>
      </c>
      <c r="D28" s="306">
        <f>19293-C28</f>
        <v>17734</v>
      </c>
      <c r="E28" s="306">
        <v>154201</v>
      </c>
      <c r="F28" s="307">
        <v>246143</v>
      </c>
      <c r="G28" s="10" t="s">
        <v>36</v>
      </c>
    </row>
    <row r="29" spans="1:7" ht="12.75" customHeight="1">
      <c r="A29" s="8"/>
      <c r="B29" s="224" t="s">
        <v>53</v>
      </c>
      <c r="C29" s="308">
        <v>3065</v>
      </c>
      <c r="D29" s="249">
        <f>14310-4791-3065</f>
        <v>6454</v>
      </c>
      <c r="E29" s="249">
        <v>4791</v>
      </c>
      <c r="F29" s="293"/>
      <c r="G29" s="224" t="s">
        <v>53</v>
      </c>
    </row>
    <row r="30" spans="1:7" ht="12.75" customHeight="1">
      <c r="A30" s="8"/>
      <c r="B30" s="10" t="s">
        <v>37</v>
      </c>
      <c r="C30" s="305">
        <v>747</v>
      </c>
      <c r="D30" s="306">
        <v>16859</v>
      </c>
      <c r="E30" s="311">
        <v>35316</v>
      </c>
      <c r="F30" s="312">
        <v>33158</v>
      </c>
      <c r="G30" s="10" t="s">
        <v>37</v>
      </c>
    </row>
    <row r="31" spans="1:7" ht="12.75" customHeight="1">
      <c r="A31" s="8"/>
      <c r="B31" s="224" t="s">
        <v>39</v>
      </c>
      <c r="C31" s="308">
        <v>773</v>
      </c>
      <c r="D31" s="249">
        <v>5942</v>
      </c>
      <c r="E31" s="249"/>
      <c r="F31" s="250">
        <v>32181</v>
      </c>
      <c r="G31" s="224" t="s">
        <v>39</v>
      </c>
    </row>
    <row r="32" spans="1:7" ht="12.75" customHeight="1">
      <c r="A32" s="8"/>
      <c r="B32" s="10" t="s">
        <v>38</v>
      </c>
      <c r="C32" s="305">
        <v>463.1</v>
      </c>
      <c r="D32" s="306">
        <v>3566.4</v>
      </c>
      <c r="E32" s="306">
        <f>18005-D32-C32</f>
        <v>13975.5</v>
      </c>
      <c r="F32" s="307">
        <v>36852</v>
      </c>
      <c r="G32" s="10" t="s">
        <v>38</v>
      </c>
    </row>
    <row r="33" spans="1:7" ht="12.75" customHeight="1">
      <c r="A33" s="8"/>
      <c r="B33" s="224" t="s">
        <v>54</v>
      </c>
      <c r="C33" s="308">
        <v>881</v>
      </c>
      <c r="D33" s="249">
        <f>8605+4730-881</f>
        <v>12454</v>
      </c>
      <c r="E33" s="249">
        <v>13600</v>
      </c>
      <c r="F33" s="250">
        <v>51053</v>
      </c>
      <c r="G33" s="224" t="s">
        <v>54</v>
      </c>
    </row>
    <row r="34" spans="1:8" ht="12.75" customHeight="1">
      <c r="A34" s="8"/>
      <c r="B34" s="10" t="s">
        <v>55</v>
      </c>
      <c r="C34" s="305">
        <v>2119</v>
      </c>
      <c r="D34" s="306">
        <v>13574</v>
      </c>
      <c r="E34" s="306">
        <v>157227</v>
      </c>
      <c r="F34" s="307">
        <v>42171</v>
      </c>
      <c r="G34" s="10" t="s">
        <v>55</v>
      </c>
      <c r="H34" s="179"/>
    </row>
    <row r="35" spans="1:7" ht="12.75" customHeight="1">
      <c r="A35" s="8"/>
      <c r="B35" s="224" t="s">
        <v>44</v>
      </c>
      <c r="C35" s="308">
        <v>3768.9</v>
      </c>
      <c r="D35" s="249">
        <f>46776+209.1+2096.1</f>
        <v>49081.2</v>
      </c>
      <c r="E35" s="249">
        <f>30286+1.7+2883.7</f>
        <v>33171.4</v>
      </c>
      <c r="F35" s="250">
        <f>314988+1.3+4722.7+0.9+15526.1</f>
        <v>335239</v>
      </c>
      <c r="G35" s="224" t="s">
        <v>44</v>
      </c>
    </row>
    <row r="36" spans="1:7" ht="12.75" customHeight="1">
      <c r="A36" s="8"/>
      <c r="B36" s="9" t="s">
        <v>131</v>
      </c>
      <c r="C36" s="299"/>
      <c r="D36" s="300"/>
      <c r="E36" s="300"/>
      <c r="F36" s="301"/>
      <c r="G36" s="9" t="s">
        <v>131</v>
      </c>
    </row>
    <row r="37" spans="1:7" ht="12.75" customHeight="1">
      <c r="A37" s="8"/>
      <c r="B37" s="224" t="s">
        <v>129</v>
      </c>
      <c r="C37" s="310" t="s">
        <v>59</v>
      </c>
      <c r="D37" s="456">
        <f>8614-805</f>
        <v>7809</v>
      </c>
      <c r="E37" s="456"/>
      <c r="F37" s="458"/>
      <c r="G37" s="224" t="s">
        <v>129</v>
      </c>
    </row>
    <row r="38" spans="1:8" ht="12.75" customHeight="1">
      <c r="A38" s="8"/>
      <c r="B38" s="10" t="s">
        <v>1</v>
      </c>
      <c r="C38" s="305">
        <v>259</v>
      </c>
      <c r="D38" s="306">
        <f>908-C38</f>
        <v>649</v>
      </c>
      <c r="E38" s="306">
        <v>3778</v>
      </c>
      <c r="F38" s="307">
        <v>9570</v>
      </c>
      <c r="G38" s="10" t="s">
        <v>1</v>
      </c>
      <c r="H38" s="179"/>
    </row>
    <row r="39" spans="1:8" ht="12.75" customHeight="1">
      <c r="A39" s="8"/>
      <c r="B39" s="224" t="s">
        <v>130</v>
      </c>
      <c r="C39" s="308">
        <v>603</v>
      </c>
      <c r="D39" s="249">
        <v>4804</v>
      </c>
      <c r="E39" s="249">
        <v>10951</v>
      </c>
      <c r="F39" s="250">
        <v>29240</v>
      </c>
      <c r="G39" s="224" t="s">
        <v>130</v>
      </c>
      <c r="H39" s="179"/>
    </row>
    <row r="40" spans="1:7" ht="12.75">
      <c r="A40" s="8"/>
      <c r="B40" s="12" t="s">
        <v>40</v>
      </c>
      <c r="C40" s="313">
        <v>2159</v>
      </c>
      <c r="D40" s="314">
        <v>31280</v>
      </c>
      <c r="E40" s="314">
        <v>32474</v>
      </c>
      <c r="F40" s="315">
        <v>170762</v>
      </c>
      <c r="G40" s="12" t="s">
        <v>40</v>
      </c>
    </row>
    <row r="41" spans="1:7" ht="12.75" customHeight="1">
      <c r="A41" s="8"/>
      <c r="B41" s="290" t="s">
        <v>26</v>
      </c>
      <c r="C41" s="289">
        <v>11</v>
      </c>
      <c r="D41" s="249">
        <v>4919</v>
      </c>
      <c r="E41" s="249">
        <v>2950</v>
      </c>
      <c r="F41" s="249">
        <v>5010</v>
      </c>
      <c r="G41" s="290" t="s">
        <v>26</v>
      </c>
    </row>
    <row r="42" spans="1:7" ht="12.75" customHeight="1">
      <c r="A42" s="8"/>
      <c r="B42" s="10" t="s">
        <v>56</v>
      </c>
      <c r="C42" s="247">
        <v>392</v>
      </c>
      <c r="D42" s="306">
        <v>10666</v>
      </c>
      <c r="E42" s="306">
        <v>44497</v>
      </c>
      <c r="F42" s="306">
        <v>39287</v>
      </c>
      <c r="G42" s="10" t="s">
        <v>56</v>
      </c>
    </row>
    <row r="43" spans="1:7" ht="16.5" customHeight="1">
      <c r="A43" s="8"/>
      <c r="B43" s="251" t="s">
        <v>27</v>
      </c>
      <c r="C43" s="249">
        <v>1440</v>
      </c>
      <c r="D43" s="249">
        <f>1823-1440</f>
        <v>383</v>
      </c>
      <c r="E43" s="249">
        <v>17898</v>
      </c>
      <c r="F43" s="249">
        <v>51799</v>
      </c>
      <c r="G43" s="251" t="s">
        <v>27</v>
      </c>
    </row>
    <row r="44" spans="2:7" ht="30" customHeight="1">
      <c r="B44" s="441" t="s">
        <v>136</v>
      </c>
      <c r="C44" s="441"/>
      <c r="D44" s="441"/>
      <c r="E44" s="441"/>
      <c r="F44" s="441"/>
      <c r="G44" s="441"/>
    </row>
    <row r="45" spans="2:7" ht="12.75" customHeight="1">
      <c r="B45" s="453" t="s">
        <v>0</v>
      </c>
      <c r="C45" s="453"/>
      <c r="D45" s="453"/>
      <c r="E45" s="453"/>
      <c r="F45" s="453"/>
      <c r="G45" s="453"/>
    </row>
    <row r="46" spans="2:7" ht="23.25" customHeight="1">
      <c r="B46" s="454" t="s">
        <v>90</v>
      </c>
      <c r="C46" s="455"/>
      <c r="D46" s="455"/>
      <c r="E46" s="455"/>
      <c r="F46" s="455"/>
      <c r="G46" s="455"/>
    </row>
    <row r="47" spans="2:7" ht="12.75" customHeight="1">
      <c r="B47" s="454" t="s">
        <v>89</v>
      </c>
      <c r="C47" s="455"/>
      <c r="D47" s="455"/>
      <c r="E47" s="455"/>
      <c r="F47" s="455"/>
      <c r="G47" s="455"/>
    </row>
    <row r="48" ht="12.75" customHeight="1">
      <c r="B48" s="185" t="s">
        <v>154</v>
      </c>
    </row>
    <row r="49" ht="12.75">
      <c r="B49" s="185"/>
    </row>
    <row r="51" ht="12.75">
      <c r="E51" s="179"/>
    </row>
    <row r="52" ht="12.75">
      <c r="E52" s="179"/>
    </row>
    <row r="53" ht="12.75">
      <c r="E53" s="179"/>
    </row>
    <row r="54" ht="12.75">
      <c r="E54" s="179"/>
    </row>
    <row r="55" ht="12.75">
      <c r="E55" s="179"/>
    </row>
    <row r="56" ht="12.75">
      <c r="E56" s="179"/>
    </row>
    <row r="66" spans="11:12" ht="15">
      <c r="K66" s="241"/>
      <c r="L66" s="241"/>
    </row>
    <row r="70" spans="11:12" ht="15">
      <c r="K70" s="241"/>
      <c r="L70" s="241"/>
    </row>
  </sheetData>
  <sheetProtection/>
  <mergeCells count="17">
    <mergeCell ref="B45:G45"/>
    <mergeCell ref="B46:G46"/>
    <mergeCell ref="B47:G47"/>
    <mergeCell ref="E11:F11"/>
    <mergeCell ref="E23:F23"/>
    <mergeCell ref="D25:F25"/>
    <mergeCell ref="D37:F37"/>
    <mergeCell ref="B44:G44"/>
    <mergeCell ref="D24:E24"/>
    <mergeCell ref="C4:C7"/>
    <mergeCell ref="D4:D7"/>
    <mergeCell ref="E4:E7"/>
    <mergeCell ref="F4:F7"/>
    <mergeCell ref="B1:C1"/>
    <mergeCell ref="F1:G1"/>
    <mergeCell ref="B2:G2"/>
    <mergeCell ref="C3:F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AK52"/>
  <sheetViews>
    <sheetView zoomScalePageLayoutView="0" workbookViewId="0" topLeftCell="A4">
      <selection activeCell="B45" sqref="B45:AC45"/>
    </sheetView>
  </sheetViews>
  <sheetFormatPr defaultColWidth="9.140625" defaultRowHeight="12.75"/>
  <cols>
    <col min="1" max="1" width="2.7109375" style="2" customWidth="1"/>
    <col min="2" max="2" width="4.00390625" style="2" customWidth="1"/>
    <col min="3" max="4" width="6.7109375" style="2" customWidth="1"/>
    <col min="5" max="6" width="6.8515625" style="2" customWidth="1"/>
    <col min="7" max="7" width="6.7109375" style="2" customWidth="1"/>
    <col min="8" max="8" width="8.140625" style="2" customWidth="1"/>
    <col min="9" max="10" width="6.7109375" style="2" customWidth="1"/>
    <col min="11" max="19" width="6.8515625" style="2" customWidth="1"/>
    <col min="20" max="26" width="6.7109375" style="2" customWidth="1"/>
    <col min="27" max="27" width="8.57421875" style="2" customWidth="1"/>
    <col min="28" max="28" width="7.00390625" style="2" customWidth="1"/>
    <col min="29" max="35" width="9.8515625" style="2" customWidth="1"/>
    <col min="36" max="36" width="7.00390625" style="2" customWidth="1"/>
    <col min="37" max="37" width="5.00390625" style="2" customWidth="1"/>
    <col min="38" max="16384" width="9.140625" style="2" customWidth="1"/>
  </cols>
  <sheetData>
    <row r="1" spans="2:37" ht="14.25" customHeight="1">
      <c r="B1" s="440"/>
      <c r="C1" s="440"/>
      <c r="D1" s="28"/>
      <c r="E1" s="25"/>
      <c r="F1" s="25"/>
      <c r="G1" s="25"/>
      <c r="H1" s="25"/>
      <c r="I1" s="25"/>
      <c r="J1" s="25"/>
      <c r="K1" s="25"/>
      <c r="L1" s="25"/>
      <c r="AD1" s="18"/>
      <c r="AE1" s="18"/>
      <c r="AF1" s="18"/>
      <c r="AG1" s="18"/>
      <c r="AH1" s="18"/>
      <c r="AI1" s="18"/>
      <c r="AJ1" s="18" t="s">
        <v>114</v>
      </c>
      <c r="AK1" s="18"/>
    </row>
    <row r="2" spans="2:37" ht="30" customHeight="1">
      <c r="B2" s="443" t="s">
        <v>80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178"/>
    </row>
    <row r="3" spans="2:37" ht="12.75" customHeight="1">
      <c r="B3" s="3"/>
      <c r="C3" s="3"/>
      <c r="E3" s="23"/>
      <c r="F3" s="23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B3" s="167"/>
      <c r="AC3" s="24"/>
      <c r="AD3" s="24"/>
      <c r="AE3" s="24"/>
      <c r="AF3" s="24"/>
      <c r="AG3" s="24"/>
      <c r="AH3" s="24"/>
      <c r="AI3" s="24"/>
      <c r="AJ3" s="24"/>
      <c r="AK3" s="24"/>
    </row>
    <row r="4" spans="2:37" ht="23.25" customHeight="1">
      <c r="B4" s="174"/>
      <c r="C4" s="155">
        <v>1970</v>
      </c>
      <c r="D4" s="156">
        <v>1980</v>
      </c>
      <c r="E4" s="156">
        <v>1990</v>
      </c>
      <c r="F4" s="156">
        <v>1995</v>
      </c>
      <c r="G4" s="156">
        <v>1996</v>
      </c>
      <c r="H4" s="156">
        <v>1997</v>
      </c>
      <c r="I4" s="156">
        <v>1998</v>
      </c>
      <c r="J4" s="156">
        <v>1999</v>
      </c>
      <c r="K4" s="156">
        <v>2000</v>
      </c>
      <c r="L4" s="156">
        <v>2001</v>
      </c>
      <c r="M4" s="156">
        <v>2002</v>
      </c>
      <c r="N4" s="156">
        <v>2003</v>
      </c>
      <c r="O4" s="156">
        <v>2004</v>
      </c>
      <c r="P4" s="156">
        <v>2005</v>
      </c>
      <c r="Q4" s="156">
        <v>2006</v>
      </c>
      <c r="R4" s="156">
        <v>2007</v>
      </c>
      <c r="S4" s="156">
        <v>2008</v>
      </c>
      <c r="T4" s="156">
        <v>2009</v>
      </c>
      <c r="U4" s="156">
        <v>2010</v>
      </c>
      <c r="V4" s="156">
        <v>2011</v>
      </c>
      <c r="W4" s="156">
        <v>2012</v>
      </c>
      <c r="X4" s="156">
        <v>2013</v>
      </c>
      <c r="Y4" s="156">
        <v>2014</v>
      </c>
      <c r="Z4" s="156">
        <v>2015</v>
      </c>
      <c r="AA4" s="231"/>
      <c r="AB4" s="232"/>
      <c r="AC4" s="232"/>
      <c r="AD4" s="232"/>
      <c r="AE4" s="232"/>
      <c r="AF4" s="232"/>
      <c r="AG4" s="232"/>
      <c r="AH4" s="232"/>
      <c r="AI4" s="232" t="s">
        <v>87</v>
      </c>
      <c r="AJ4" s="233"/>
      <c r="AK4" s="24"/>
    </row>
    <row r="5" spans="2:37" ht="12" customHeight="1">
      <c r="B5" s="173"/>
      <c r="C5" s="15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234">
        <v>2007</v>
      </c>
      <c r="AB5" s="235">
        <v>2008</v>
      </c>
      <c r="AC5" s="235">
        <v>2009</v>
      </c>
      <c r="AD5" s="235">
        <v>2010</v>
      </c>
      <c r="AE5" s="235">
        <v>2011</v>
      </c>
      <c r="AF5" s="235">
        <v>2012</v>
      </c>
      <c r="AG5" s="235">
        <v>2013</v>
      </c>
      <c r="AH5" s="235">
        <v>2014</v>
      </c>
      <c r="AI5" s="235">
        <v>2015</v>
      </c>
      <c r="AJ5" s="236" t="s">
        <v>58</v>
      </c>
      <c r="AK5" s="7"/>
    </row>
    <row r="6" spans="2:37" ht="12.75" customHeight="1">
      <c r="B6" s="51" t="s">
        <v>132</v>
      </c>
      <c r="C6" s="318">
        <f>13308+SUM(C9:C36)</f>
        <v>248269</v>
      </c>
      <c r="D6" s="319">
        <f>13131+SUM(D9:D36)</f>
        <v>240629</v>
      </c>
      <c r="E6" s="319">
        <f>13111+SUM(E9:E36)</f>
        <v>237671</v>
      </c>
      <c r="F6" s="319">
        <f>SUM(F9:F36)</f>
        <v>229435</v>
      </c>
      <c r="G6" s="319">
        <f aca="true" t="shared" si="0" ref="G6:R6">SUM(G9:G36)</f>
        <v>220627</v>
      </c>
      <c r="H6" s="319">
        <f t="shared" si="0"/>
        <v>218237</v>
      </c>
      <c r="I6" s="319">
        <f t="shared" si="0"/>
        <v>216958</v>
      </c>
      <c r="J6" s="319">
        <f t="shared" si="0"/>
        <v>213312</v>
      </c>
      <c r="K6" s="319">
        <f t="shared" si="0"/>
        <v>220583</v>
      </c>
      <c r="L6" s="319">
        <f t="shared" si="0"/>
        <v>217502</v>
      </c>
      <c r="M6" s="319">
        <f t="shared" si="0"/>
        <v>217892</v>
      </c>
      <c r="N6" s="319">
        <f t="shared" si="0"/>
        <v>219024</v>
      </c>
      <c r="O6" s="319">
        <f t="shared" si="0"/>
        <v>216225</v>
      </c>
      <c r="P6" s="320">
        <f t="shared" si="0"/>
        <v>215110</v>
      </c>
      <c r="Q6" s="320">
        <f t="shared" si="0"/>
        <v>215378</v>
      </c>
      <c r="R6" s="320">
        <f t="shared" si="0"/>
        <v>215651</v>
      </c>
      <c r="S6" s="320">
        <f aca="true" t="shared" si="1" ref="S6:Y6">SUM(S9:S36)</f>
        <v>216018</v>
      </c>
      <c r="T6" s="320">
        <f t="shared" si="1"/>
        <v>215892</v>
      </c>
      <c r="U6" s="320">
        <f t="shared" si="1"/>
        <v>215840</v>
      </c>
      <c r="V6" s="320">
        <f t="shared" si="1"/>
        <v>216191</v>
      </c>
      <c r="W6" s="320">
        <f t="shared" si="1"/>
        <v>215489</v>
      </c>
      <c r="X6" s="400">
        <f t="shared" si="1"/>
        <v>219205</v>
      </c>
      <c r="Y6" s="320">
        <f t="shared" si="1"/>
        <v>219129</v>
      </c>
      <c r="Z6" s="320">
        <f>SUM(Z9:Z36)</f>
        <v>218181</v>
      </c>
      <c r="AA6" s="318">
        <f>SUM(AA9:AA36)</f>
        <v>111024</v>
      </c>
      <c r="AB6" s="319">
        <f>SUM(AB9:AB36)</f>
        <v>111778</v>
      </c>
      <c r="AC6" s="319">
        <f>SUM(AC9:AC36)</f>
        <v>112274</v>
      </c>
      <c r="AD6" s="319">
        <f aca="true" t="shared" si="2" ref="AD6:AI6">SUM(AD9:AD36)</f>
        <v>113113</v>
      </c>
      <c r="AE6" s="321">
        <f t="shared" si="2"/>
        <v>114697</v>
      </c>
      <c r="AF6" s="321">
        <f t="shared" si="2"/>
        <v>115049</v>
      </c>
      <c r="AG6" s="403">
        <f t="shared" si="2"/>
        <v>115137.56</v>
      </c>
      <c r="AH6" s="319">
        <f t="shared" si="2"/>
        <v>115393.04000000001</v>
      </c>
      <c r="AI6" s="321">
        <f t="shared" si="2"/>
        <v>116086.26000000001</v>
      </c>
      <c r="AJ6" s="405">
        <f>AI6/Z6*100</f>
        <v>53.206402024007595</v>
      </c>
      <c r="AK6" s="51" t="s">
        <v>132</v>
      </c>
    </row>
    <row r="7" spans="2:37" ht="12.75" customHeight="1">
      <c r="B7" s="54" t="s">
        <v>133</v>
      </c>
      <c r="C7" s="322">
        <f>SUM(C9,C12:C13,C15:C20,C24,C27:C28,C30,C34:C36)-C19</f>
        <v>175274</v>
      </c>
      <c r="D7" s="323">
        <f>SUM(D9,D12:D13,D15:D20,D24,D27:D28,D30,D34:D36)-D19</f>
        <v>168150</v>
      </c>
      <c r="E7" s="323">
        <f>SUM(E9,E12:E13,E15:E20,E24,E27:E28,E30,E34:E36)-E19</f>
        <v>162132</v>
      </c>
      <c r="F7" s="323">
        <f>SUM(F9,F12:F13,F15:F18,F24,F27:F28,F30,F34:F36,F20)</f>
        <v>160037</v>
      </c>
      <c r="G7" s="323">
        <f aca="true" t="shared" si="3" ref="G7:V7">SUM(G9,G12:G13,G15:G18,G24,G27:G28,G30,G34:G36,G20)</f>
        <v>159068</v>
      </c>
      <c r="H7" s="323">
        <f t="shared" si="3"/>
        <v>156830</v>
      </c>
      <c r="I7" s="323">
        <f t="shared" si="3"/>
        <v>156249</v>
      </c>
      <c r="J7" s="323">
        <f t="shared" si="3"/>
        <v>153028</v>
      </c>
      <c r="K7" s="323">
        <f t="shared" si="3"/>
        <v>152446</v>
      </c>
      <c r="L7" s="323">
        <f t="shared" si="3"/>
        <v>152189</v>
      </c>
      <c r="M7" s="323">
        <f t="shared" si="3"/>
        <v>152180</v>
      </c>
      <c r="N7" s="323">
        <f t="shared" si="3"/>
        <v>152791</v>
      </c>
      <c r="O7" s="323">
        <f t="shared" si="3"/>
        <v>150463</v>
      </c>
      <c r="P7" s="324">
        <f t="shared" si="3"/>
        <v>150316</v>
      </c>
      <c r="Q7" s="324">
        <f t="shared" si="3"/>
        <v>150849</v>
      </c>
      <c r="R7" s="324">
        <f t="shared" si="3"/>
        <v>151356</v>
      </c>
      <c r="S7" s="324">
        <f t="shared" si="3"/>
        <v>151572</v>
      </c>
      <c r="T7" s="324">
        <f t="shared" si="3"/>
        <v>151070</v>
      </c>
      <c r="U7" s="324">
        <f t="shared" si="3"/>
        <v>151127</v>
      </c>
      <c r="V7" s="324">
        <f t="shared" si="3"/>
        <v>151514</v>
      </c>
      <c r="W7" s="324">
        <f>SUM(W9,W12:W13,W15:W18,W24,W27:W28,W30,W34:W36,W20)</f>
        <v>150950</v>
      </c>
      <c r="X7" s="401">
        <f>SUM(X9,X12:X13,X15:X18,X24,X27:X28,X30,X34:X36,X20)</f>
        <v>155391</v>
      </c>
      <c r="Y7" s="324">
        <f>SUM(Y9,Y12:Y13,Y15:Y18,Y24,Y27:Y28,Y30,Y34:Y36,Y20)</f>
        <v>155477</v>
      </c>
      <c r="Z7" s="324">
        <f>SUM(Z9,Z12:Z13,Z15:Z18,Z24,Z27:Z28,Z30,Z34:Z36,Z20)</f>
        <v>154837</v>
      </c>
      <c r="AA7" s="322">
        <f>SUM(AA9,AA12:AA13,AA15:AA18,AA24,AA27:AA28,AA30,AA34:AA36)+AA20</f>
        <v>82984</v>
      </c>
      <c r="AB7" s="323">
        <f>SUM(AB9,AB12:AB13,AB15:AB18,AB24,AB27:AB28,AB30,AB34:AB36)+AB20</f>
        <v>83620</v>
      </c>
      <c r="AC7" s="323">
        <f>SUM(AC9,AC12:AC13,AC15:AC18,AC24,AC27:AC28,AC30,AC34:AC36)+AC20</f>
        <v>83973</v>
      </c>
      <c r="AD7" s="323">
        <f>SUM(AD9,AD12:AD13,AD15:AD18,AD24,AD27:AD28,AD30,AD34:AD36)+AD20</f>
        <v>84710</v>
      </c>
      <c r="AE7" s="325">
        <f>SUM(AE9,AE12:AE13,AE15:AE18,AE24,AE27:AE28,AE30,AE34:AE36)+AE20</f>
        <v>86209</v>
      </c>
      <c r="AF7" s="325">
        <f>SUM(AF9,AF12:AF13,AF15:AF18,AF24,AF27:AF28,AF30,AF34:AF36)+AF20</f>
        <v>86490</v>
      </c>
      <c r="AG7" s="404">
        <f>SUM(AG9,AG12:AG13,AG15:AG18,AG24,AG27:AG28,AG30,AG34:AG36)+AG20</f>
        <v>86621.56</v>
      </c>
      <c r="AH7" s="323">
        <f>SUM(AH9,AH12:AH13,AH15:AH18,AH24,AH27:AH28,AH30,AH34:AH36)+AH20</f>
        <v>86942.04000000001</v>
      </c>
      <c r="AI7" s="325">
        <f>SUM(AI9,AI12:AI13,AI15:AI18,AI24,AI27:AI28,AI30,AI34:AI36)+AI20</f>
        <v>87563.26000000001</v>
      </c>
      <c r="AJ7" s="406">
        <f aca="true" t="shared" si="4" ref="AJ7:AJ44">AI7/Z7*100</f>
        <v>56.55189651052398</v>
      </c>
      <c r="AK7" s="54" t="s">
        <v>133</v>
      </c>
    </row>
    <row r="8" spans="2:37" ht="12.75" customHeight="1">
      <c r="B8" s="57" t="s">
        <v>134</v>
      </c>
      <c r="C8" s="326">
        <f>13308+SUM(C10,C11,C14,C21,C22,C23,C25,C26,C29,C31,C32,C33)+C19</f>
        <v>72995</v>
      </c>
      <c r="D8" s="327">
        <f>13131+SUM(D10,D11,D14,D21,D22,D23,D25,D26,D29,D31,D32,D33)+D19</f>
        <v>72479</v>
      </c>
      <c r="E8" s="327">
        <f>13111+SUM(E10,E11,E14,E21,E22,E23,E25,E26,E29,E31,E32,E33)+E19-E33</f>
        <v>71879</v>
      </c>
      <c r="F8" s="327">
        <f>F6-F7</f>
        <v>69398</v>
      </c>
      <c r="G8" s="327">
        <f aca="true" t="shared" si="5" ref="G8:R8">G6-G7</f>
        <v>61559</v>
      </c>
      <c r="H8" s="327">
        <f t="shared" si="5"/>
        <v>61407</v>
      </c>
      <c r="I8" s="327">
        <f t="shared" si="5"/>
        <v>60709</v>
      </c>
      <c r="J8" s="327">
        <f t="shared" si="5"/>
        <v>60284</v>
      </c>
      <c r="K8" s="327">
        <f t="shared" si="5"/>
        <v>68137</v>
      </c>
      <c r="L8" s="327">
        <f t="shared" si="5"/>
        <v>65313</v>
      </c>
      <c r="M8" s="327">
        <f t="shared" si="5"/>
        <v>65712</v>
      </c>
      <c r="N8" s="327">
        <f t="shared" si="5"/>
        <v>66233</v>
      </c>
      <c r="O8" s="327">
        <f t="shared" si="5"/>
        <v>65762</v>
      </c>
      <c r="P8" s="328">
        <f t="shared" si="5"/>
        <v>64794</v>
      </c>
      <c r="Q8" s="328">
        <f t="shared" si="5"/>
        <v>64529</v>
      </c>
      <c r="R8" s="328">
        <f t="shared" si="5"/>
        <v>64295</v>
      </c>
      <c r="S8" s="328">
        <f aca="true" t="shared" si="6" ref="S8:AA8">S6-S7</f>
        <v>64446</v>
      </c>
      <c r="T8" s="328">
        <f t="shared" si="6"/>
        <v>64822</v>
      </c>
      <c r="U8" s="328">
        <f t="shared" si="6"/>
        <v>64713</v>
      </c>
      <c r="V8" s="328">
        <f t="shared" si="6"/>
        <v>64677</v>
      </c>
      <c r="W8" s="328">
        <f t="shared" si="6"/>
        <v>64539</v>
      </c>
      <c r="X8" s="328">
        <f t="shared" si="6"/>
        <v>63814</v>
      </c>
      <c r="Y8" s="328">
        <f t="shared" si="6"/>
        <v>63652</v>
      </c>
      <c r="Z8" s="328">
        <f>Z6-Z7</f>
        <v>63344</v>
      </c>
      <c r="AA8" s="326">
        <f t="shared" si="6"/>
        <v>28040</v>
      </c>
      <c r="AB8" s="327">
        <f>AB6-AB7</f>
        <v>28158</v>
      </c>
      <c r="AC8" s="327">
        <f>AC6-AC7</f>
        <v>28301</v>
      </c>
      <c r="AD8" s="327">
        <f>AD6-AD7</f>
        <v>28403</v>
      </c>
      <c r="AE8" s="327">
        <f>AE6-AE7</f>
        <v>28488</v>
      </c>
      <c r="AF8" s="327">
        <f>AF6-AF7</f>
        <v>28559</v>
      </c>
      <c r="AG8" s="327">
        <f>AG6-AG7</f>
        <v>28516</v>
      </c>
      <c r="AH8" s="327">
        <f>AH6-AH7</f>
        <v>28451</v>
      </c>
      <c r="AI8" s="327">
        <f>AI6-AI7</f>
        <v>28523</v>
      </c>
      <c r="AJ8" s="226">
        <f t="shared" si="4"/>
        <v>45.02873200303107</v>
      </c>
      <c r="AK8" s="57" t="s">
        <v>134</v>
      </c>
    </row>
    <row r="9" spans="1:37" ht="12.75" customHeight="1">
      <c r="A9" s="8"/>
      <c r="B9" s="9" t="s">
        <v>45</v>
      </c>
      <c r="C9" s="329">
        <v>4605</v>
      </c>
      <c r="D9" s="330">
        <v>3971</v>
      </c>
      <c r="E9" s="330">
        <v>3479</v>
      </c>
      <c r="F9" s="330">
        <v>3368</v>
      </c>
      <c r="G9" s="330">
        <v>3380</v>
      </c>
      <c r="H9" s="330">
        <v>3422</v>
      </c>
      <c r="I9" s="330">
        <v>3470</v>
      </c>
      <c r="J9" s="330">
        <v>3472</v>
      </c>
      <c r="K9" s="330">
        <v>3471</v>
      </c>
      <c r="L9" s="330">
        <v>3454</v>
      </c>
      <c r="M9" s="330">
        <v>3518</v>
      </c>
      <c r="N9" s="330">
        <v>3521</v>
      </c>
      <c r="O9" s="330">
        <v>3536</v>
      </c>
      <c r="P9" s="306">
        <v>3544</v>
      </c>
      <c r="Q9" s="311">
        <v>3500</v>
      </c>
      <c r="R9" s="306">
        <v>3374</v>
      </c>
      <c r="S9" s="306">
        <v>3513</v>
      </c>
      <c r="T9" s="306">
        <v>3578</v>
      </c>
      <c r="U9" s="306">
        <v>3582</v>
      </c>
      <c r="V9" s="306">
        <v>3582</v>
      </c>
      <c r="W9" s="306">
        <v>3582</v>
      </c>
      <c r="X9" s="306">
        <v>3595</v>
      </c>
      <c r="Y9" s="306">
        <v>3631</v>
      </c>
      <c r="Z9" s="306">
        <v>3607</v>
      </c>
      <c r="AA9" s="331">
        <v>3002</v>
      </c>
      <c r="AB9" s="332">
        <v>2955</v>
      </c>
      <c r="AC9" s="332">
        <v>3005</v>
      </c>
      <c r="AD9" s="332">
        <v>3064</v>
      </c>
      <c r="AE9" s="333">
        <v>3064</v>
      </c>
      <c r="AF9" s="333">
        <v>3064</v>
      </c>
      <c r="AG9" s="333">
        <v>3064</v>
      </c>
      <c r="AH9" s="332">
        <f>Y9*85/100</f>
        <v>3086.35</v>
      </c>
      <c r="AI9" s="333">
        <v>3086</v>
      </c>
      <c r="AJ9" s="227">
        <f t="shared" si="4"/>
        <v>85.55586359855836</v>
      </c>
      <c r="AK9" s="9" t="s">
        <v>45</v>
      </c>
    </row>
    <row r="10" spans="1:37" ht="12.75" customHeight="1">
      <c r="A10" s="8"/>
      <c r="B10" s="54" t="s">
        <v>28</v>
      </c>
      <c r="C10" s="334">
        <v>4196</v>
      </c>
      <c r="D10" s="303">
        <v>4341</v>
      </c>
      <c r="E10" s="303">
        <v>4299</v>
      </c>
      <c r="F10" s="303">
        <v>4294</v>
      </c>
      <c r="G10" s="303">
        <v>4293</v>
      </c>
      <c r="H10" s="303">
        <v>4292</v>
      </c>
      <c r="I10" s="303">
        <v>4090</v>
      </c>
      <c r="J10" s="303">
        <v>4090</v>
      </c>
      <c r="K10" s="303">
        <v>4320</v>
      </c>
      <c r="L10" s="303">
        <v>4320</v>
      </c>
      <c r="M10" s="303">
        <v>4318</v>
      </c>
      <c r="N10" s="240">
        <v>4316</v>
      </c>
      <c r="O10" s="240">
        <v>4259</v>
      </c>
      <c r="P10" s="240">
        <v>4154</v>
      </c>
      <c r="Q10" s="240">
        <v>4146</v>
      </c>
      <c r="R10" s="240">
        <v>4143</v>
      </c>
      <c r="S10" s="240">
        <v>4144</v>
      </c>
      <c r="T10" s="240">
        <v>4150</v>
      </c>
      <c r="U10" s="240">
        <v>4097</v>
      </c>
      <c r="V10" s="240">
        <v>4072</v>
      </c>
      <c r="W10" s="240">
        <v>4070</v>
      </c>
      <c r="X10" s="240">
        <v>4032</v>
      </c>
      <c r="Y10" s="240">
        <v>4023</v>
      </c>
      <c r="Z10" s="240">
        <v>4019</v>
      </c>
      <c r="AA10" s="334">
        <v>2806</v>
      </c>
      <c r="AB10" s="303">
        <v>2827</v>
      </c>
      <c r="AC10" s="303">
        <v>2833</v>
      </c>
      <c r="AD10" s="303">
        <v>2785</v>
      </c>
      <c r="AE10" s="303">
        <v>2862</v>
      </c>
      <c r="AF10" s="303">
        <v>2862</v>
      </c>
      <c r="AG10" s="303">
        <v>2869</v>
      </c>
      <c r="AH10" s="303">
        <v>2861</v>
      </c>
      <c r="AI10" s="303">
        <v>2859</v>
      </c>
      <c r="AJ10" s="228">
        <f t="shared" si="4"/>
        <v>71.13709878079123</v>
      </c>
      <c r="AK10" s="54" t="s">
        <v>28</v>
      </c>
    </row>
    <row r="11" spans="1:37" ht="12.75" customHeight="1">
      <c r="A11" s="8"/>
      <c r="B11" s="10" t="s">
        <v>30</v>
      </c>
      <c r="C11" s="335"/>
      <c r="D11" s="311"/>
      <c r="E11" s="311"/>
      <c r="F11" s="311">
        <v>9430</v>
      </c>
      <c r="G11" s="311">
        <v>9430</v>
      </c>
      <c r="H11" s="311">
        <v>9430</v>
      </c>
      <c r="I11" s="311">
        <v>9430</v>
      </c>
      <c r="J11" s="311">
        <v>9444</v>
      </c>
      <c r="K11" s="311">
        <v>9444</v>
      </c>
      <c r="L11" s="311">
        <v>9523</v>
      </c>
      <c r="M11" s="311">
        <v>9600</v>
      </c>
      <c r="N11" s="311">
        <v>9602</v>
      </c>
      <c r="O11" s="311">
        <v>9612</v>
      </c>
      <c r="P11" s="306">
        <v>9614</v>
      </c>
      <c r="Q11" s="311">
        <v>9597</v>
      </c>
      <c r="R11" s="306">
        <v>9588</v>
      </c>
      <c r="S11" s="306">
        <v>9486</v>
      </c>
      <c r="T11" s="306">
        <v>9477</v>
      </c>
      <c r="U11" s="306">
        <v>9468</v>
      </c>
      <c r="V11" s="306">
        <v>9470</v>
      </c>
      <c r="W11" s="306">
        <v>9469</v>
      </c>
      <c r="X11" s="306">
        <v>9459</v>
      </c>
      <c r="Y11" s="306">
        <v>9456</v>
      </c>
      <c r="Z11" s="306">
        <v>9466</v>
      </c>
      <c r="AA11" s="331">
        <v>3060</v>
      </c>
      <c r="AB11" s="332">
        <v>3078</v>
      </c>
      <c r="AC11" s="332">
        <v>3152</v>
      </c>
      <c r="AD11" s="332">
        <v>3210</v>
      </c>
      <c r="AE11" s="332">
        <v>3208</v>
      </c>
      <c r="AF11" s="332">
        <v>3217</v>
      </c>
      <c r="AG11" s="332">
        <v>3216</v>
      </c>
      <c r="AH11" s="332">
        <v>3215</v>
      </c>
      <c r="AI11" s="332">
        <v>3217</v>
      </c>
      <c r="AJ11" s="227">
        <f t="shared" si="4"/>
        <v>33.98478766110289</v>
      </c>
      <c r="AK11" s="10" t="s">
        <v>30</v>
      </c>
    </row>
    <row r="12" spans="1:37" ht="12.75" customHeight="1">
      <c r="A12" s="8"/>
      <c r="B12" s="54" t="s">
        <v>41</v>
      </c>
      <c r="C12" s="334">
        <v>2352</v>
      </c>
      <c r="D12" s="303">
        <v>2015</v>
      </c>
      <c r="E12" s="303">
        <v>2838</v>
      </c>
      <c r="F12" s="303">
        <v>2863</v>
      </c>
      <c r="G12" s="303">
        <v>2863</v>
      </c>
      <c r="H12" s="303">
        <v>2762</v>
      </c>
      <c r="I12" s="303">
        <v>2779</v>
      </c>
      <c r="J12" s="303">
        <v>2775</v>
      </c>
      <c r="K12" s="303">
        <v>2787</v>
      </c>
      <c r="L12" s="303">
        <v>2787</v>
      </c>
      <c r="M12" s="303">
        <v>2787</v>
      </c>
      <c r="N12" s="303">
        <v>2787</v>
      </c>
      <c r="O12" s="303">
        <v>2646</v>
      </c>
      <c r="P12" s="240">
        <v>2646</v>
      </c>
      <c r="Q12" s="240">
        <v>2646</v>
      </c>
      <c r="R12" s="240">
        <v>2606</v>
      </c>
      <c r="S12" s="240">
        <v>2606</v>
      </c>
      <c r="T12" s="240">
        <v>2606</v>
      </c>
      <c r="U12" s="240">
        <v>2606</v>
      </c>
      <c r="V12" s="240">
        <v>2615</v>
      </c>
      <c r="W12" s="240">
        <v>2615</v>
      </c>
      <c r="X12" s="240">
        <v>2615</v>
      </c>
      <c r="Y12" s="240">
        <f>2633-21</f>
        <v>2612</v>
      </c>
      <c r="Z12" s="240">
        <f>2573-21</f>
        <v>2552</v>
      </c>
      <c r="AA12" s="334">
        <v>619</v>
      </c>
      <c r="AB12" s="303">
        <v>621</v>
      </c>
      <c r="AC12" s="303">
        <v>621</v>
      </c>
      <c r="AD12" s="303">
        <f>642-21</f>
        <v>621</v>
      </c>
      <c r="AE12" s="303">
        <v>621</v>
      </c>
      <c r="AF12" s="303">
        <f>642-21</f>
        <v>621</v>
      </c>
      <c r="AG12" s="303">
        <v>621</v>
      </c>
      <c r="AH12" s="303">
        <v>621</v>
      </c>
      <c r="AI12" s="303">
        <v>621</v>
      </c>
      <c r="AJ12" s="228">
        <f t="shared" si="4"/>
        <v>24.33385579937304</v>
      </c>
      <c r="AK12" s="54" t="s">
        <v>41</v>
      </c>
    </row>
    <row r="13" spans="1:37" ht="12.75" customHeight="1">
      <c r="A13" s="8"/>
      <c r="B13" s="10" t="s">
        <v>46</v>
      </c>
      <c r="C13" s="335">
        <v>43777</v>
      </c>
      <c r="D13" s="311">
        <v>42765</v>
      </c>
      <c r="E13" s="311">
        <v>40981</v>
      </c>
      <c r="F13" s="311">
        <v>41718</v>
      </c>
      <c r="G13" s="311">
        <v>40826</v>
      </c>
      <c r="H13" s="311">
        <v>38450</v>
      </c>
      <c r="I13" s="311">
        <v>38126</v>
      </c>
      <c r="J13" s="311">
        <v>37525</v>
      </c>
      <c r="K13" s="311">
        <v>36588</v>
      </c>
      <c r="L13" s="311">
        <v>35986</v>
      </c>
      <c r="M13" s="311">
        <v>35814</v>
      </c>
      <c r="N13" s="311">
        <v>36054</v>
      </c>
      <c r="O13" s="311">
        <v>34732</v>
      </c>
      <c r="P13" s="306">
        <v>34221</v>
      </c>
      <c r="Q13" s="311">
        <v>34122</v>
      </c>
      <c r="R13" s="306">
        <v>33890</v>
      </c>
      <c r="S13" s="306">
        <v>33855</v>
      </c>
      <c r="T13" s="306">
        <v>33714</v>
      </c>
      <c r="U13" s="306">
        <v>33707</v>
      </c>
      <c r="V13" s="306">
        <v>33576</v>
      </c>
      <c r="W13" s="306">
        <v>33509</v>
      </c>
      <c r="X13" s="398">
        <v>38703</v>
      </c>
      <c r="Y13" s="306">
        <v>38836</v>
      </c>
      <c r="Z13" s="306">
        <v>38828</v>
      </c>
      <c r="AA13" s="331">
        <v>19544</v>
      </c>
      <c r="AB13" s="332">
        <v>19645</v>
      </c>
      <c r="AC13" s="332">
        <v>19701</v>
      </c>
      <c r="AD13" s="332">
        <v>19819</v>
      </c>
      <c r="AE13" s="332">
        <v>19826</v>
      </c>
      <c r="AF13" s="332">
        <v>19830</v>
      </c>
      <c r="AG13" s="399">
        <f>X13*52/100</f>
        <v>20125.56</v>
      </c>
      <c r="AH13" s="332">
        <f>Y13*52/100</f>
        <v>20194.72</v>
      </c>
      <c r="AI13" s="332">
        <f>Z13*52.4/100</f>
        <v>20345.872</v>
      </c>
      <c r="AJ13" s="227">
        <f t="shared" si="4"/>
        <v>52.400000000000006</v>
      </c>
      <c r="AK13" s="10" t="s">
        <v>46</v>
      </c>
    </row>
    <row r="14" spans="1:37" ht="12.75" customHeight="1">
      <c r="A14" s="8"/>
      <c r="B14" s="54" t="s">
        <v>31</v>
      </c>
      <c r="C14" s="334">
        <v>1227</v>
      </c>
      <c r="D14" s="303">
        <v>993</v>
      </c>
      <c r="E14" s="303">
        <v>1026</v>
      </c>
      <c r="F14" s="303">
        <v>1021</v>
      </c>
      <c r="G14" s="303">
        <v>1021</v>
      </c>
      <c r="H14" s="303">
        <v>966</v>
      </c>
      <c r="I14" s="303">
        <v>966</v>
      </c>
      <c r="J14" s="303">
        <v>968</v>
      </c>
      <c r="K14" s="303">
        <v>968</v>
      </c>
      <c r="L14" s="303">
        <v>967</v>
      </c>
      <c r="M14" s="303">
        <v>963</v>
      </c>
      <c r="N14" s="303">
        <v>967</v>
      </c>
      <c r="O14" s="303">
        <v>971</v>
      </c>
      <c r="P14" s="240">
        <v>968</v>
      </c>
      <c r="Q14" s="303">
        <v>968</v>
      </c>
      <c r="R14" s="240">
        <v>816</v>
      </c>
      <c r="S14" s="240">
        <v>919</v>
      </c>
      <c r="T14" s="336">
        <v>1539</v>
      </c>
      <c r="U14" s="240">
        <v>1540</v>
      </c>
      <c r="V14" s="240">
        <v>1540</v>
      </c>
      <c r="W14" s="240">
        <v>1540</v>
      </c>
      <c r="X14" s="240">
        <v>1510</v>
      </c>
      <c r="Y14" s="240">
        <v>1510</v>
      </c>
      <c r="Z14" s="240">
        <v>1510</v>
      </c>
      <c r="AA14" s="334">
        <v>131</v>
      </c>
      <c r="AB14" s="303">
        <v>131</v>
      </c>
      <c r="AC14" s="303">
        <v>132</v>
      </c>
      <c r="AD14" s="303">
        <v>132</v>
      </c>
      <c r="AE14" s="303">
        <v>132</v>
      </c>
      <c r="AF14" s="303">
        <v>132</v>
      </c>
      <c r="AG14" s="303">
        <v>132</v>
      </c>
      <c r="AH14" s="303">
        <v>132</v>
      </c>
      <c r="AI14" s="303">
        <v>132</v>
      </c>
      <c r="AJ14" s="229">
        <f t="shared" si="4"/>
        <v>8.741721854304636</v>
      </c>
      <c r="AK14" s="54" t="s">
        <v>31</v>
      </c>
    </row>
    <row r="15" spans="1:37" ht="12.75" customHeight="1">
      <c r="A15" s="8"/>
      <c r="B15" s="10" t="s">
        <v>49</v>
      </c>
      <c r="C15" s="335">
        <v>2189</v>
      </c>
      <c r="D15" s="311">
        <v>1987</v>
      </c>
      <c r="E15" s="311">
        <v>1944</v>
      </c>
      <c r="F15" s="311">
        <v>1954</v>
      </c>
      <c r="G15" s="311">
        <v>1954</v>
      </c>
      <c r="H15" s="311">
        <v>1945</v>
      </c>
      <c r="I15" s="311">
        <v>1909</v>
      </c>
      <c r="J15" s="311">
        <v>1909</v>
      </c>
      <c r="K15" s="311">
        <v>1919</v>
      </c>
      <c r="L15" s="311">
        <v>1919</v>
      </c>
      <c r="M15" s="311">
        <v>1919</v>
      </c>
      <c r="N15" s="311">
        <v>1919</v>
      </c>
      <c r="O15" s="311">
        <v>1919</v>
      </c>
      <c r="P15" s="306">
        <v>1919</v>
      </c>
      <c r="Q15" s="311">
        <v>1919</v>
      </c>
      <c r="R15" s="398">
        <v>1894</v>
      </c>
      <c r="S15" s="306">
        <v>1894</v>
      </c>
      <c r="T15" s="306">
        <v>1894</v>
      </c>
      <c r="U15" s="306">
        <v>1894</v>
      </c>
      <c r="V15" s="306">
        <v>1894</v>
      </c>
      <c r="W15" s="306">
        <v>1894</v>
      </c>
      <c r="X15" s="306">
        <v>1894</v>
      </c>
      <c r="Y15" s="306">
        <v>1894</v>
      </c>
      <c r="Z15" s="306">
        <v>1894</v>
      </c>
      <c r="AA15" s="331">
        <v>52</v>
      </c>
      <c r="AB15" s="332">
        <v>52</v>
      </c>
      <c r="AC15" s="332">
        <v>52</v>
      </c>
      <c r="AD15" s="332">
        <v>52</v>
      </c>
      <c r="AE15" s="332">
        <v>52</v>
      </c>
      <c r="AF15" s="332">
        <v>52</v>
      </c>
      <c r="AG15" s="332">
        <v>52</v>
      </c>
      <c r="AH15" s="332">
        <v>52</v>
      </c>
      <c r="AI15" s="333">
        <v>52</v>
      </c>
      <c r="AJ15" s="227">
        <f t="shared" si="4"/>
        <v>2.7455121436114043</v>
      </c>
      <c r="AK15" s="10" t="s">
        <v>49</v>
      </c>
    </row>
    <row r="16" spans="1:37" ht="12.75" customHeight="1">
      <c r="A16" s="8"/>
      <c r="B16" s="54" t="s">
        <v>42</v>
      </c>
      <c r="C16" s="334">
        <v>2602</v>
      </c>
      <c r="D16" s="303">
        <v>2461</v>
      </c>
      <c r="E16" s="303">
        <v>2484</v>
      </c>
      <c r="F16" s="303">
        <v>2474</v>
      </c>
      <c r="G16" s="303">
        <v>2474</v>
      </c>
      <c r="H16" s="303">
        <v>2503</v>
      </c>
      <c r="I16" s="303">
        <v>2299</v>
      </c>
      <c r="J16" s="303">
        <v>2299</v>
      </c>
      <c r="K16" s="303">
        <v>2385</v>
      </c>
      <c r="L16" s="303">
        <v>2377</v>
      </c>
      <c r="M16" s="303">
        <v>2383</v>
      </c>
      <c r="N16" s="303">
        <v>2414</v>
      </c>
      <c r="O16" s="303">
        <v>2449</v>
      </c>
      <c r="P16" s="240">
        <v>2576</v>
      </c>
      <c r="Q16" s="303">
        <v>2509</v>
      </c>
      <c r="R16" s="240">
        <v>2551</v>
      </c>
      <c r="S16" s="240">
        <v>2552</v>
      </c>
      <c r="T16" s="240">
        <v>2552</v>
      </c>
      <c r="U16" s="240">
        <v>2552</v>
      </c>
      <c r="V16" s="240">
        <v>2554</v>
      </c>
      <c r="W16" s="240">
        <v>2554</v>
      </c>
      <c r="X16" s="240">
        <v>2265</v>
      </c>
      <c r="Y16" s="240">
        <v>2238</v>
      </c>
      <c r="Z16" s="240">
        <v>2239</v>
      </c>
      <c r="AA16" s="334">
        <v>199</v>
      </c>
      <c r="AB16" s="303">
        <v>264</v>
      </c>
      <c r="AC16" s="303">
        <v>264</v>
      </c>
      <c r="AD16" s="303">
        <v>368</v>
      </c>
      <c r="AE16" s="303">
        <v>438</v>
      </c>
      <c r="AF16" s="303">
        <v>438</v>
      </c>
      <c r="AG16" s="303">
        <v>437</v>
      </c>
      <c r="AH16" s="303">
        <v>494</v>
      </c>
      <c r="AI16" s="303">
        <v>525</v>
      </c>
      <c r="AJ16" s="229">
        <f t="shared" si="4"/>
        <v>23.44796784278696</v>
      </c>
      <c r="AK16" s="54" t="s">
        <v>42</v>
      </c>
    </row>
    <row r="17" spans="1:37" ht="12.75" customHeight="1">
      <c r="A17" s="8"/>
      <c r="B17" s="10" t="s">
        <v>47</v>
      </c>
      <c r="C17" s="335">
        <v>15850</v>
      </c>
      <c r="D17" s="311">
        <v>15724</v>
      </c>
      <c r="E17" s="337">
        <v>14539</v>
      </c>
      <c r="F17" s="311">
        <f>6717+7591</f>
        <v>14308</v>
      </c>
      <c r="G17" s="311">
        <f>6717+7564</f>
        <v>14281</v>
      </c>
      <c r="H17" s="311">
        <f>6654+7654</f>
        <v>14308</v>
      </c>
      <c r="I17" s="311">
        <f>6575+7714</f>
        <v>14289</v>
      </c>
      <c r="J17" s="311">
        <f>6571+7790</f>
        <v>14361</v>
      </c>
      <c r="K17" s="311">
        <f>6559+7788</f>
        <v>14347</v>
      </c>
      <c r="L17" s="311">
        <f>6559+7788</f>
        <v>14347</v>
      </c>
      <c r="M17" s="311">
        <f>6499+7927</f>
        <v>14426</v>
      </c>
      <c r="N17" s="311">
        <f>6432+8477</f>
        <v>14909</v>
      </c>
      <c r="O17" s="311">
        <f>6447+8338</f>
        <v>14785</v>
      </c>
      <c r="P17" s="306">
        <f>6537+8478</f>
        <v>15015</v>
      </c>
      <c r="Q17" s="311">
        <f>6486+8726</f>
        <v>15212</v>
      </c>
      <c r="R17" s="306">
        <f>6455+9099</f>
        <v>15554</v>
      </c>
      <c r="S17" s="306">
        <f>6434+9116</f>
        <v>15550</v>
      </c>
      <c r="T17" s="306">
        <f>6394+8936</f>
        <v>15330</v>
      </c>
      <c r="U17" s="306">
        <f>6398+9439</f>
        <v>15837</v>
      </c>
      <c r="V17" s="306">
        <f>15932</f>
        <v>15932</v>
      </c>
      <c r="W17" s="306">
        <f>6268+9654</f>
        <v>15922</v>
      </c>
      <c r="X17" s="306">
        <f>9768+6169</f>
        <v>15937</v>
      </c>
      <c r="Y17" s="306">
        <f>9717+6184</f>
        <v>15901</v>
      </c>
      <c r="Z17" s="306">
        <f>10211+5845</f>
        <v>16056</v>
      </c>
      <c r="AA17" s="331">
        <f>9099</f>
        <v>9099</v>
      </c>
      <c r="AB17" s="332">
        <v>9116</v>
      </c>
      <c r="AC17" s="332">
        <v>8936</v>
      </c>
      <c r="AD17" s="332">
        <v>9439</v>
      </c>
      <c r="AE17" s="332">
        <v>9615</v>
      </c>
      <c r="AF17" s="332">
        <v>9654</v>
      </c>
      <c r="AG17" s="332">
        <v>9768</v>
      </c>
      <c r="AH17" s="332">
        <v>9717</v>
      </c>
      <c r="AI17" s="332">
        <v>10211</v>
      </c>
      <c r="AJ17" s="227">
        <f t="shared" si="4"/>
        <v>63.596163428001994</v>
      </c>
      <c r="AK17" s="10" t="s">
        <v>47</v>
      </c>
    </row>
    <row r="18" spans="1:37" ht="12.75" customHeight="1">
      <c r="A18" s="8"/>
      <c r="B18" s="54" t="s">
        <v>48</v>
      </c>
      <c r="C18" s="334">
        <v>37582</v>
      </c>
      <c r="D18" s="303">
        <v>34362</v>
      </c>
      <c r="E18" s="303">
        <v>34070</v>
      </c>
      <c r="F18" s="303">
        <v>31939</v>
      </c>
      <c r="G18" s="303">
        <v>31852</v>
      </c>
      <c r="H18" s="303">
        <v>31821</v>
      </c>
      <c r="I18" s="303">
        <v>31735</v>
      </c>
      <c r="J18" s="303">
        <v>29113</v>
      </c>
      <c r="K18" s="303">
        <v>29272</v>
      </c>
      <c r="L18" s="303">
        <v>29445</v>
      </c>
      <c r="M18" s="303">
        <v>29352</v>
      </c>
      <c r="N18" s="303">
        <v>29269</v>
      </c>
      <c r="O18" s="303">
        <v>29246</v>
      </c>
      <c r="P18" s="240">
        <v>29286</v>
      </c>
      <c r="Q18" s="303">
        <v>29463</v>
      </c>
      <c r="R18" s="240">
        <v>29918</v>
      </c>
      <c r="S18" s="240">
        <v>29901</v>
      </c>
      <c r="T18" s="336">
        <v>29698</v>
      </c>
      <c r="U18" s="240">
        <v>29504</v>
      </c>
      <c r="V18" s="240">
        <v>29656</v>
      </c>
      <c r="W18" s="240">
        <v>29588</v>
      </c>
      <c r="X18" s="240">
        <v>29243</v>
      </c>
      <c r="Y18" s="240">
        <v>29386</v>
      </c>
      <c r="Z18" s="240">
        <v>28765</v>
      </c>
      <c r="AA18" s="334">
        <v>15133</v>
      </c>
      <c r="AB18" s="303">
        <v>15401</v>
      </c>
      <c r="AC18" s="402">
        <v>15469</v>
      </c>
      <c r="AD18" s="303">
        <v>15519</v>
      </c>
      <c r="AE18" s="303">
        <v>16016</v>
      </c>
      <c r="AF18" s="303">
        <v>16116</v>
      </c>
      <c r="AG18" s="303">
        <v>15737</v>
      </c>
      <c r="AH18" s="303">
        <v>16087</v>
      </c>
      <c r="AI18" s="303">
        <v>15976</v>
      </c>
      <c r="AJ18" s="229">
        <f t="shared" si="4"/>
        <v>55.53971840778724</v>
      </c>
      <c r="AK18" s="54" t="s">
        <v>48</v>
      </c>
    </row>
    <row r="19" spans="1:37" ht="12.75" customHeight="1">
      <c r="A19" s="8"/>
      <c r="B19" s="10" t="s">
        <v>60</v>
      </c>
      <c r="C19" s="335">
        <v>2411</v>
      </c>
      <c r="D19" s="311">
        <v>2437</v>
      </c>
      <c r="E19" s="311">
        <v>2429</v>
      </c>
      <c r="F19" s="311">
        <v>2296</v>
      </c>
      <c r="G19" s="311">
        <v>2726</v>
      </c>
      <c r="H19" s="311">
        <v>2726</v>
      </c>
      <c r="I19" s="311">
        <v>2726</v>
      </c>
      <c r="J19" s="311">
        <v>2726</v>
      </c>
      <c r="K19" s="311">
        <v>2726</v>
      </c>
      <c r="L19" s="311">
        <v>2726</v>
      </c>
      <c r="M19" s="311">
        <v>2726</v>
      </c>
      <c r="N19" s="311">
        <v>2726</v>
      </c>
      <c r="O19" s="311">
        <v>2726</v>
      </c>
      <c r="P19" s="306">
        <v>2726</v>
      </c>
      <c r="Q19" s="311">
        <v>2722</v>
      </c>
      <c r="R19" s="306">
        <v>2722</v>
      </c>
      <c r="S19" s="306">
        <v>2722</v>
      </c>
      <c r="T19" s="306">
        <v>2722</v>
      </c>
      <c r="U19" s="306">
        <v>2722</v>
      </c>
      <c r="V19" s="306">
        <v>2722</v>
      </c>
      <c r="W19" s="306">
        <v>2722</v>
      </c>
      <c r="X19" s="306">
        <v>2722</v>
      </c>
      <c r="Y19" s="306">
        <v>2604</v>
      </c>
      <c r="Z19" s="306">
        <v>2604</v>
      </c>
      <c r="AA19" s="335">
        <v>980</v>
      </c>
      <c r="AB19" s="311">
        <v>985</v>
      </c>
      <c r="AC19" s="311">
        <v>984</v>
      </c>
      <c r="AD19" s="311">
        <v>984</v>
      </c>
      <c r="AE19" s="311">
        <v>984</v>
      </c>
      <c r="AF19" s="311">
        <v>984</v>
      </c>
      <c r="AG19" s="311">
        <v>985</v>
      </c>
      <c r="AH19" s="311">
        <v>970</v>
      </c>
      <c r="AI19" s="311">
        <v>970</v>
      </c>
      <c r="AJ19" s="227">
        <f t="shared" si="4"/>
        <v>37.25038402457757</v>
      </c>
      <c r="AK19" s="10" t="s">
        <v>60</v>
      </c>
    </row>
    <row r="20" spans="1:37" ht="12.75" customHeight="1">
      <c r="A20" s="8"/>
      <c r="B20" s="54" t="s">
        <v>50</v>
      </c>
      <c r="C20" s="338">
        <v>16073</v>
      </c>
      <c r="D20" s="339">
        <v>16138</v>
      </c>
      <c r="E20" s="339">
        <v>16066</v>
      </c>
      <c r="F20" s="339">
        <v>16003</v>
      </c>
      <c r="G20" s="339">
        <v>16014</v>
      </c>
      <c r="H20" s="339">
        <v>16030</v>
      </c>
      <c r="I20" s="339">
        <v>16080</v>
      </c>
      <c r="J20" s="339">
        <v>16092</v>
      </c>
      <c r="K20" s="339">
        <v>16187</v>
      </c>
      <c r="L20" s="339">
        <v>16357</v>
      </c>
      <c r="M20" s="339">
        <v>16307</v>
      </c>
      <c r="N20" s="339">
        <v>16287</v>
      </c>
      <c r="O20" s="339">
        <v>16236</v>
      </c>
      <c r="P20" s="339">
        <f>320+16225</f>
        <v>16545</v>
      </c>
      <c r="Q20" s="339">
        <f>16295+332</f>
        <v>16627</v>
      </c>
      <c r="R20" s="339">
        <f>16335+332</f>
        <v>16667</v>
      </c>
      <c r="S20" s="339">
        <v>16861</v>
      </c>
      <c r="T20" s="339">
        <f>318+16686</f>
        <v>17004</v>
      </c>
      <c r="U20" s="339">
        <f>318+16704</f>
        <v>17022</v>
      </c>
      <c r="V20" s="339">
        <f>16727+318</f>
        <v>17045</v>
      </c>
      <c r="W20" s="339">
        <v>17060</v>
      </c>
      <c r="X20" s="339">
        <f>16752+318</f>
        <v>17070</v>
      </c>
      <c r="Y20" s="339">
        <f>16721+316</f>
        <v>17037</v>
      </c>
      <c r="Z20" s="339">
        <f>16723+318</f>
        <v>17041</v>
      </c>
      <c r="AA20" s="338">
        <f>11531+200</f>
        <v>11731</v>
      </c>
      <c r="AB20" s="339">
        <v>11927</v>
      </c>
      <c r="AC20" s="339">
        <f>195+11887</f>
        <v>12082</v>
      </c>
      <c r="AD20" s="339">
        <f>11906+122</f>
        <v>12028</v>
      </c>
      <c r="AE20" s="339">
        <f>11925+195</f>
        <v>12120</v>
      </c>
      <c r="AF20" s="339">
        <f>11931+195</f>
        <v>12126</v>
      </c>
      <c r="AG20" s="339">
        <f>11969+195</f>
        <v>12164</v>
      </c>
      <c r="AH20" s="339">
        <f>11939+194</f>
        <v>12133</v>
      </c>
      <c r="AI20" s="339">
        <f>11941+195</f>
        <v>12136</v>
      </c>
      <c r="AJ20" s="407">
        <f t="shared" si="4"/>
        <v>71.21647790622616</v>
      </c>
      <c r="AK20" s="54" t="s">
        <v>50</v>
      </c>
    </row>
    <row r="21" spans="1:37" ht="12.75" customHeight="1">
      <c r="A21" s="8"/>
      <c r="B21" s="10" t="s">
        <v>29</v>
      </c>
      <c r="C21" s="305" t="s">
        <v>59</v>
      </c>
      <c r="D21" s="306" t="s">
        <v>59</v>
      </c>
      <c r="E21" s="306" t="s">
        <v>59</v>
      </c>
      <c r="F21" s="306" t="s">
        <v>59</v>
      </c>
      <c r="G21" s="306" t="s">
        <v>59</v>
      </c>
      <c r="H21" s="306" t="s">
        <v>59</v>
      </c>
      <c r="I21" s="306" t="s">
        <v>59</v>
      </c>
      <c r="J21" s="306" t="s">
        <v>59</v>
      </c>
      <c r="K21" s="306" t="s">
        <v>59</v>
      </c>
      <c r="L21" s="306" t="s">
        <v>59</v>
      </c>
      <c r="M21" s="306" t="s">
        <v>59</v>
      </c>
      <c r="N21" s="306" t="s">
        <v>59</v>
      </c>
      <c r="O21" s="306" t="s">
        <v>59</v>
      </c>
      <c r="P21" s="306" t="s">
        <v>59</v>
      </c>
      <c r="Q21" s="306" t="s">
        <v>59</v>
      </c>
      <c r="R21" s="306" t="s">
        <v>59</v>
      </c>
      <c r="S21" s="306" t="s">
        <v>59</v>
      </c>
      <c r="T21" s="306" t="s">
        <v>59</v>
      </c>
      <c r="U21" s="306" t="s">
        <v>59</v>
      </c>
      <c r="V21" s="306" t="s">
        <v>59</v>
      </c>
      <c r="W21" s="306" t="s">
        <v>59</v>
      </c>
      <c r="X21" s="306" t="s">
        <v>59</v>
      </c>
      <c r="Y21" s="306" t="s">
        <v>59</v>
      </c>
      <c r="Z21" s="306" t="s">
        <v>59</v>
      </c>
      <c r="AA21" s="340" t="s">
        <v>59</v>
      </c>
      <c r="AB21" s="341" t="s">
        <v>59</v>
      </c>
      <c r="AC21" s="341" t="s">
        <v>59</v>
      </c>
      <c r="AD21" s="341" t="s">
        <v>59</v>
      </c>
      <c r="AE21" s="341" t="s">
        <v>59</v>
      </c>
      <c r="AF21" s="341" t="s">
        <v>59</v>
      </c>
      <c r="AG21" s="341" t="s">
        <v>59</v>
      </c>
      <c r="AH21" s="341" t="s">
        <v>59</v>
      </c>
      <c r="AI21" s="341" t="s">
        <v>59</v>
      </c>
      <c r="AJ21" s="316" t="s">
        <v>59</v>
      </c>
      <c r="AK21" s="10" t="s">
        <v>29</v>
      </c>
    </row>
    <row r="22" spans="1:37" ht="12.75" customHeight="1">
      <c r="A22" s="8"/>
      <c r="B22" s="54" t="s">
        <v>33</v>
      </c>
      <c r="C22" s="334">
        <v>2606</v>
      </c>
      <c r="D22" s="303">
        <v>2384</v>
      </c>
      <c r="E22" s="303">
        <v>2397</v>
      </c>
      <c r="F22" s="303">
        <v>2413</v>
      </c>
      <c r="G22" s="303">
        <v>2413</v>
      </c>
      <c r="H22" s="303">
        <v>2413</v>
      </c>
      <c r="I22" s="303">
        <v>2413</v>
      </c>
      <c r="J22" s="303">
        <v>2413</v>
      </c>
      <c r="K22" s="303">
        <v>2331</v>
      </c>
      <c r="L22" s="303">
        <v>2305</v>
      </c>
      <c r="M22" s="303">
        <v>2270</v>
      </c>
      <c r="N22" s="303">
        <v>2270</v>
      </c>
      <c r="O22" s="303">
        <v>2270</v>
      </c>
      <c r="P22" s="240">
        <v>2270</v>
      </c>
      <c r="Q22" s="303">
        <v>2269</v>
      </c>
      <c r="R22" s="240">
        <v>2265</v>
      </c>
      <c r="S22" s="240">
        <v>2263</v>
      </c>
      <c r="T22" s="240">
        <v>1884</v>
      </c>
      <c r="U22" s="240">
        <v>1897</v>
      </c>
      <c r="V22" s="240">
        <v>1865</v>
      </c>
      <c r="W22" s="240">
        <v>1860</v>
      </c>
      <c r="X22" s="240">
        <v>1859</v>
      </c>
      <c r="Y22" s="240">
        <v>1853</v>
      </c>
      <c r="Z22" s="240">
        <v>1859</v>
      </c>
      <c r="AA22" s="334">
        <v>257</v>
      </c>
      <c r="AB22" s="303">
        <v>257</v>
      </c>
      <c r="AC22" s="303">
        <v>257</v>
      </c>
      <c r="AD22" s="303">
        <v>257</v>
      </c>
      <c r="AE22" s="303">
        <v>257</v>
      </c>
      <c r="AF22" s="303">
        <v>250</v>
      </c>
      <c r="AG22" s="303">
        <v>250</v>
      </c>
      <c r="AH22" s="303">
        <v>245</v>
      </c>
      <c r="AI22" s="303">
        <v>250</v>
      </c>
      <c r="AJ22" s="229">
        <f t="shared" si="4"/>
        <v>13.448090371167295</v>
      </c>
      <c r="AK22" s="54" t="s">
        <v>33</v>
      </c>
    </row>
    <row r="23" spans="1:37" ht="12.75" customHeight="1">
      <c r="A23" s="8"/>
      <c r="B23" s="10" t="s">
        <v>34</v>
      </c>
      <c r="C23" s="335">
        <v>2015</v>
      </c>
      <c r="D23" s="311">
        <v>2008</v>
      </c>
      <c r="E23" s="311">
        <v>2007</v>
      </c>
      <c r="F23" s="311">
        <v>2002</v>
      </c>
      <c r="G23" s="311">
        <v>1997</v>
      </c>
      <c r="H23" s="311">
        <v>1998</v>
      </c>
      <c r="I23" s="311">
        <v>1998</v>
      </c>
      <c r="J23" s="311">
        <v>1905</v>
      </c>
      <c r="K23" s="311">
        <v>1905</v>
      </c>
      <c r="L23" s="311">
        <v>1696</v>
      </c>
      <c r="M23" s="311">
        <v>1775</v>
      </c>
      <c r="N23" s="311">
        <v>1774</v>
      </c>
      <c r="O23" s="311">
        <v>1782</v>
      </c>
      <c r="P23" s="306">
        <f>1771</f>
        <v>1771</v>
      </c>
      <c r="Q23" s="311">
        <v>1771</v>
      </c>
      <c r="R23" s="306">
        <v>1766</v>
      </c>
      <c r="S23" s="306">
        <v>1765</v>
      </c>
      <c r="T23" s="306">
        <v>1767</v>
      </c>
      <c r="U23" s="306">
        <f>1767</f>
        <v>1767</v>
      </c>
      <c r="V23" s="306">
        <v>1767</v>
      </c>
      <c r="W23" s="306">
        <v>1767</v>
      </c>
      <c r="X23" s="306">
        <v>1767</v>
      </c>
      <c r="Y23" s="306">
        <v>1767</v>
      </c>
      <c r="Z23" s="306">
        <v>1877</v>
      </c>
      <c r="AA23" s="331">
        <v>122</v>
      </c>
      <c r="AB23" s="332">
        <v>122</v>
      </c>
      <c r="AC23" s="332">
        <v>122</v>
      </c>
      <c r="AD23" s="332">
        <v>122</v>
      </c>
      <c r="AE23" s="332">
        <v>122</v>
      </c>
      <c r="AF23" s="332">
        <v>122</v>
      </c>
      <c r="AG23" s="332">
        <v>122</v>
      </c>
      <c r="AH23" s="332">
        <v>122</v>
      </c>
      <c r="AI23" s="332">
        <v>122</v>
      </c>
      <c r="AJ23" s="227">
        <f t="shared" si="4"/>
        <v>6.4997336174746945</v>
      </c>
      <c r="AK23" s="10" t="s">
        <v>34</v>
      </c>
    </row>
    <row r="24" spans="1:37" ht="12.75" customHeight="1">
      <c r="A24" s="8"/>
      <c r="B24" s="54" t="s">
        <v>51</v>
      </c>
      <c r="C24" s="334">
        <v>271</v>
      </c>
      <c r="D24" s="303">
        <v>270</v>
      </c>
      <c r="E24" s="303">
        <v>271</v>
      </c>
      <c r="F24" s="303">
        <v>275</v>
      </c>
      <c r="G24" s="240">
        <v>274</v>
      </c>
      <c r="H24" s="240">
        <v>274</v>
      </c>
      <c r="I24" s="240">
        <v>274</v>
      </c>
      <c r="J24" s="240">
        <v>274</v>
      </c>
      <c r="K24" s="303">
        <v>274</v>
      </c>
      <c r="L24" s="240">
        <v>274</v>
      </c>
      <c r="M24" s="240">
        <v>274</v>
      </c>
      <c r="N24" s="240">
        <v>275</v>
      </c>
      <c r="O24" s="240">
        <v>275</v>
      </c>
      <c r="P24" s="240">
        <v>275</v>
      </c>
      <c r="Q24" s="303">
        <v>275</v>
      </c>
      <c r="R24" s="240">
        <v>275</v>
      </c>
      <c r="S24" s="240">
        <v>275</v>
      </c>
      <c r="T24" s="240">
        <v>275</v>
      </c>
      <c r="U24" s="240">
        <v>275</v>
      </c>
      <c r="V24" s="240">
        <v>275</v>
      </c>
      <c r="W24" s="240">
        <v>275</v>
      </c>
      <c r="X24" s="240">
        <v>275</v>
      </c>
      <c r="Y24" s="240">
        <v>275</v>
      </c>
      <c r="Z24" s="240">
        <v>275</v>
      </c>
      <c r="AA24" s="334">
        <v>262</v>
      </c>
      <c r="AB24" s="303">
        <v>262</v>
      </c>
      <c r="AC24" s="303">
        <v>262</v>
      </c>
      <c r="AD24" s="303">
        <v>262</v>
      </c>
      <c r="AE24" s="303">
        <v>262</v>
      </c>
      <c r="AF24" s="303">
        <v>262</v>
      </c>
      <c r="AG24" s="303">
        <v>262</v>
      </c>
      <c r="AH24" s="303">
        <v>262</v>
      </c>
      <c r="AI24" s="303">
        <v>262</v>
      </c>
      <c r="AJ24" s="229">
        <f t="shared" si="4"/>
        <v>95.27272727272728</v>
      </c>
      <c r="AK24" s="54" t="s">
        <v>51</v>
      </c>
    </row>
    <row r="25" spans="1:37" ht="12.75" customHeight="1">
      <c r="A25" s="8"/>
      <c r="B25" s="10" t="s">
        <v>32</v>
      </c>
      <c r="C25" s="309">
        <v>8487</v>
      </c>
      <c r="D25" s="342">
        <v>7836</v>
      </c>
      <c r="E25" s="342">
        <v>7838</v>
      </c>
      <c r="F25" s="342">
        <v>7714</v>
      </c>
      <c r="G25" s="342"/>
      <c r="H25" s="342"/>
      <c r="I25" s="342"/>
      <c r="J25" s="342"/>
      <c r="K25" s="342">
        <v>8005</v>
      </c>
      <c r="L25" s="342">
        <v>7736</v>
      </c>
      <c r="M25" s="342">
        <v>7949</v>
      </c>
      <c r="N25" s="342">
        <v>7950</v>
      </c>
      <c r="O25" s="342">
        <v>7950</v>
      </c>
      <c r="P25" s="342">
        <v>7950</v>
      </c>
      <c r="Q25" s="342">
        <f>7676+284</f>
        <v>7960</v>
      </c>
      <c r="R25" s="342">
        <f>7658+284</f>
        <v>7942</v>
      </c>
      <c r="S25" s="342">
        <v>7892</v>
      </c>
      <c r="T25" s="342">
        <f>284+7608</f>
        <v>7892</v>
      </c>
      <c r="U25" s="342">
        <f>7609+284</f>
        <v>7893</v>
      </c>
      <c r="V25" s="342">
        <f>7397+509</f>
        <v>7906</v>
      </c>
      <c r="W25" s="342">
        <f>7385+492</f>
        <v>7877</v>
      </c>
      <c r="X25" s="342">
        <f>7389+509</f>
        <v>7898</v>
      </c>
      <c r="Y25" s="342">
        <f>7384+508</f>
        <v>7892</v>
      </c>
      <c r="Z25" s="342">
        <f>7385+509</f>
        <v>7894</v>
      </c>
      <c r="AA25" s="343">
        <f>2573+220</f>
        <v>2793</v>
      </c>
      <c r="AB25" s="344">
        <v>2848</v>
      </c>
      <c r="AC25" s="344">
        <f>220+2628</f>
        <v>2848</v>
      </c>
      <c r="AD25" s="344">
        <f>2727+220</f>
        <v>2947</v>
      </c>
      <c r="AE25" s="344">
        <f>2679+317</f>
        <v>2996</v>
      </c>
      <c r="AF25" s="344">
        <f>2697+317</f>
        <v>3014</v>
      </c>
      <c r="AG25" s="344">
        <f>313+2697</f>
        <v>3010</v>
      </c>
      <c r="AH25" s="344">
        <f>2696+316</f>
        <v>3012</v>
      </c>
      <c r="AI25" s="344">
        <f>2701+378</f>
        <v>3079</v>
      </c>
      <c r="AJ25" s="408">
        <f t="shared" si="4"/>
        <v>39.00430706865974</v>
      </c>
      <c r="AK25" s="10" t="s">
        <v>32</v>
      </c>
    </row>
    <row r="26" spans="1:37" ht="12.75" customHeight="1">
      <c r="A26" s="8"/>
      <c r="B26" s="54" t="s">
        <v>35</v>
      </c>
      <c r="C26" s="302" t="s">
        <v>59</v>
      </c>
      <c r="D26" s="240" t="s">
        <v>59</v>
      </c>
      <c r="E26" s="240" t="s">
        <v>59</v>
      </c>
      <c r="F26" s="240" t="s">
        <v>59</v>
      </c>
      <c r="G26" s="240" t="s">
        <v>59</v>
      </c>
      <c r="H26" s="240" t="s">
        <v>59</v>
      </c>
      <c r="I26" s="240" t="s">
        <v>59</v>
      </c>
      <c r="J26" s="240" t="s">
        <v>59</v>
      </c>
      <c r="K26" s="240" t="s">
        <v>59</v>
      </c>
      <c r="L26" s="240" t="s">
        <v>59</v>
      </c>
      <c r="M26" s="240" t="s">
        <v>59</v>
      </c>
      <c r="N26" s="240" t="s">
        <v>59</v>
      </c>
      <c r="O26" s="240" t="s">
        <v>59</v>
      </c>
      <c r="P26" s="240" t="s">
        <v>59</v>
      </c>
      <c r="Q26" s="240" t="s">
        <v>59</v>
      </c>
      <c r="R26" s="240" t="s">
        <v>59</v>
      </c>
      <c r="S26" s="240" t="s">
        <v>59</v>
      </c>
      <c r="T26" s="240" t="s">
        <v>59</v>
      </c>
      <c r="U26" s="240" t="s">
        <v>59</v>
      </c>
      <c r="V26" s="240" t="s">
        <v>59</v>
      </c>
      <c r="W26" s="240" t="s">
        <v>59</v>
      </c>
      <c r="X26" s="240" t="s">
        <v>59</v>
      </c>
      <c r="Y26" s="240" t="s">
        <v>59</v>
      </c>
      <c r="Z26" s="240" t="s">
        <v>59</v>
      </c>
      <c r="AA26" s="302" t="s">
        <v>59</v>
      </c>
      <c r="AB26" s="240" t="s">
        <v>59</v>
      </c>
      <c r="AC26" s="240" t="s">
        <v>59</v>
      </c>
      <c r="AD26" s="240" t="s">
        <v>59</v>
      </c>
      <c r="AE26" s="240" t="s">
        <v>59</v>
      </c>
      <c r="AF26" s="240" t="s">
        <v>59</v>
      </c>
      <c r="AG26" s="240" t="s">
        <v>59</v>
      </c>
      <c r="AH26" s="240" t="s">
        <v>59</v>
      </c>
      <c r="AI26" s="240" t="s">
        <v>59</v>
      </c>
      <c r="AJ26" s="228" t="s">
        <v>59</v>
      </c>
      <c r="AK26" s="54" t="s">
        <v>35</v>
      </c>
    </row>
    <row r="27" spans="1:37" ht="12.75" customHeight="1">
      <c r="A27" s="8"/>
      <c r="B27" s="10" t="s">
        <v>43</v>
      </c>
      <c r="C27" s="335">
        <v>3147</v>
      </c>
      <c r="D27" s="311">
        <v>2880</v>
      </c>
      <c r="E27" s="311">
        <v>2798</v>
      </c>
      <c r="F27" s="311">
        <v>2739</v>
      </c>
      <c r="G27" s="311">
        <v>2739</v>
      </c>
      <c r="H27" s="311">
        <v>2805</v>
      </c>
      <c r="I27" s="311">
        <v>2808</v>
      </c>
      <c r="J27" s="311">
        <v>2808</v>
      </c>
      <c r="K27" s="311">
        <v>2802</v>
      </c>
      <c r="L27" s="311">
        <v>2809</v>
      </c>
      <c r="M27" s="311">
        <v>2806</v>
      </c>
      <c r="N27" s="311">
        <v>2811</v>
      </c>
      <c r="O27" s="311">
        <v>2810</v>
      </c>
      <c r="P27" s="306">
        <v>2797</v>
      </c>
      <c r="Q27" s="311">
        <v>2801</v>
      </c>
      <c r="R27" s="306">
        <v>2888</v>
      </c>
      <c r="S27" s="306">
        <v>2896</v>
      </c>
      <c r="T27" s="345">
        <v>3013</v>
      </c>
      <c r="U27" s="345">
        <v>3013</v>
      </c>
      <c r="V27" s="345">
        <v>3013</v>
      </c>
      <c r="W27" s="345">
        <v>3013</v>
      </c>
      <c r="X27" s="345">
        <v>3032</v>
      </c>
      <c r="Y27" s="345">
        <v>3031</v>
      </c>
      <c r="Z27" s="345">
        <v>3058</v>
      </c>
      <c r="AA27" s="331">
        <v>2155</v>
      </c>
      <c r="AB27" s="332">
        <v>2155</v>
      </c>
      <c r="AC27" s="332">
        <v>2266</v>
      </c>
      <c r="AD27" s="332">
        <v>2266</v>
      </c>
      <c r="AE27" s="332">
        <v>2266</v>
      </c>
      <c r="AF27" s="332">
        <v>2266</v>
      </c>
      <c r="AG27" s="332">
        <v>2307</v>
      </c>
      <c r="AH27" s="332">
        <v>2302</v>
      </c>
      <c r="AI27" s="332">
        <v>2314</v>
      </c>
      <c r="AJ27" s="227">
        <f t="shared" si="4"/>
        <v>75.67037279267495</v>
      </c>
      <c r="AK27" s="10" t="s">
        <v>43</v>
      </c>
    </row>
    <row r="28" spans="1:37" ht="12.75" customHeight="1">
      <c r="A28" s="8"/>
      <c r="B28" s="54" t="s">
        <v>52</v>
      </c>
      <c r="C28" s="334">
        <v>5901</v>
      </c>
      <c r="D28" s="303">
        <v>5857</v>
      </c>
      <c r="E28" s="303">
        <v>5624</v>
      </c>
      <c r="F28" s="303">
        <v>5672</v>
      </c>
      <c r="G28" s="303">
        <v>5672</v>
      </c>
      <c r="H28" s="303">
        <v>5672</v>
      </c>
      <c r="I28" s="303">
        <v>5643</v>
      </c>
      <c r="J28" s="303">
        <v>5643</v>
      </c>
      <c r="K28" s="303">
        <v>5665</v>
      </c>
      <c r="L28" s="303">
        <v>5697</v>
      </c>
      <c r="M28" s="303">
        <v>5779</v>
      </c>
      <c r="N28" s="303">
        <v>5787</v>
      </c>
      <c r="O28" s="303">
        <v>5675</v>
      </c>
      <c r="P28" s="240">
        <v>5691</v>
      </c>
      <c r="Q28" s="303">
        <f>5702+25+91</f>
        <v>5818</v>
      </c>
      <c r="R28" s="240">
        <f>5702+91+25</f>
        <v>5818</v>
      </c>
      <c r="S28" s="240">
        <v>5664</v>
      </c>
      <c r="T28" s="240">
        <v>5356</v>
      </c>
      <c r="U28" s="240">
        <v>5039</v>
      </c>
      <c r="V28" s="240">
        <v>5021</v>
      </c>
      <c r="W28" s="240">
        <v>4894</v>
      </c>
      <c r="X28" s="240">
        <v>4894</v>
      </c>
      <c r="Y28" s="240">
        <f>4967+91</f>
        <v>5058</v>
      </c>
      <c r="Z28" s="240">
        <f>4846+91</f>
        <v>4937</v>
      </c>
      <c r="AA28" s="334">
        <f>3520+25</f>
        <v>3545</v>
      </c>
      <c r="AB28" s="303">
        <v>3510</v>
      </c>
      <c r="AC28" s="303">
        <v>3518</v>
      </c>
      <c r="AD28" s="303">
        <v>3427</v>
      </c>
      <c r="AE28" s="303">
        <v>3416</v>
      </c>
      <c r="AF28" s="303">
        <v>3468</v>
      </c>
      <c r="AG28" s="303">
        <v>3468</v>
      </c>
      <c r="AH28" s="303">
        <f>3527</f>
        <v>3527</v>
      </c>
      <c r="AI28" s="303">
        <v>3517</v>
      </c>
      <c r="AJ28" s="229">
        <f t="shared" si="4"/>
        <v>71.2375936803727</v>
      </c>
      <c r="AK28" s="54" t="s">
        <v>52</v>
      </c>
    </row>
    <row r="29" spans="1:37" ht="12.75" customHeight="1">
      <c r="A29" s="8"/>
      <c r="B29" s="10" t="s">
        <v>36</v>
      </c>
      <c r="C29" s="335">
        <v>26678</v>
      </c>
      <c r="D29" s="311">
        <v>27181</v>
      </c>
      <c r="E29" s="311">
        <v>26228</v>
      </c>
      <c r="F29" s="311">
        <v>23986</v>
      </c>
      <c r="G29" s="311">
        <v>23420</v>
      </c>
      <c r="H29" s="311">
        <v>23328</v>
      </c>
      <c r="I29" s="311">
        <v>23210</v>
      </c>
      <c r="J29" s="311">
        <v>22891</v>
      </c>
      <c r="K29" s="311">
        <v>22560</v>
      </c>
      <c r="L29" s="311">
        <v>20134</v>
      </c>
      <c r="M29" s="311">
        <v>20223</v>
      </c>
      <c r="N29" s="311">
        <v>20665</v>
      </c>
      <c r="O29" s="311">
        <v>20250</v>
      </c>
      <c r="P29" s="306">
        <v>19507</v>
      </c>
      <c r="Q29" s="311">
        <v>19429</v>
      </c>
      <c r="R29" s="306">
        <v>19419</v>
      </c>
      <c r="S29" s="306">
        <v>19627</v>
      </c>
      <c r="T29" s="306">
        <v>19764</v>
      </c>
      <c r="U29" s="306">
        <v>19702</v>
      </c>
      <c r="V29" s="306">
        <v>19725</v>
      </c>
      <c r="W29" s="306">
        <v>19617</v>
      </c>
      <c r="X29" s="306">
        <v>18959</v>
      </c>
      <c r="Y29" s="306">
        <v>18942</v>
      </c>
      <c r="Z29" s="306">
        <v>18510</v>
      </c>
      <c r="AA29" s="331">
        <v>11831</v>
      </c>
      <c r="AB29" s="332">
        <v>11856</v>
      </c>
      <c r="AC29" s="332">
        <v>11891</v>
      </c>
      <c r="AD29" s="332">
        <v>11854</v>
      </c>
      <c r="AE29" s="332">
        <v>11817</v>
      </c>
      <c r="AF29" s="332">
        <v>11860</v>
      </c>
      <c r="AG29" s="332">
        <v>11817</v>
      </c>
      <c r="AH29" s="332">
        <v>11779</v>
      </c>
      <c r="AI29" s="332">
        <v>11777</v>
      </c>
      <c r="AJ29" s="227">
        <f t="shared" si="4"/>
        <v>63.625067531064296</v>
      </c>
      <c r="AK29" s="10" t="s">
        <v>36</v>
      </c>
    </row>
    <row r="30" spans="1:37" ht="12.75" customHeight="1">
      <c r="A30" s="8"/>
      <c r="B30" s="54" t="s">
        <v>53</v>
      </c>
      <c r="C30" s="334">
        <v>3588</v>
      </c>
      <c r="D30" s="303">
        <v>3609</v>
      </c>
      <c r="E30" s="303">
        <v>3064</v>
      </c>
      <c r="F30" s="303">
        <v>2850</v>
      </c>
      <c r="G30" s="303">
        <v>2850</v>
      </c>
      <c r="H30" s="303">
        <v>2856</v>
      </c>
      <c r="I30" s="303">
        <v>2794</v>
      </c>
      <c r="J30" s="303">
        <v>2813</v>
      </c>
      <c r="K30" s="303">
        <v>2814</v>
      </c>
      <c r="L30" s="303">
        <v>2814</v>
      </c>
      <c r="M30" s="303">
        <v>2818</v>
      </c>
      <c r="N30" s="303">
        <v>2818</v>
      </c>
      <c r="O30" s="303">
        <v>2849</v>
      </c>
      <c r="P30" s="240">
        <v>2844</v>
      </c>
      <c r="Q30" s="303">
        <v>2839</v>
      </c>
      <c r="R30" s="240">
        <v>2838</v>
      </c>
      <c r="S30" s="240">
        <v>2842</v>
      </c>
      <c r="T30" s="240">
        <v>2842</v>
      </c>
      <c r="U30" s="240">
        <v>2842</v>
      </c>
      <c r="V30" s="240">
        <v>2793</v>
      </c>
      <c r="W30" s="240">
        <v>2541</v>
      </c>
      <c r="X30" s="240">
        <v>2544</v>
      </c>
      <c r="Y30" s="240">
        <v>2544</v>
      </c>
      <c r="Z30" s="240">
        <v>2545</v>
      </c>
      <c r="AA30" s="334">
        <v>1435</v>
      </c>
      <c r="AB30" s="303">
        <v>1460</v>
      </c>
      <c r="AC30" s="303">
        <v>1460</v>
      </c>
      <c r="AD30" s="303">
        <v>1487</v>
      </c>
      <c r="AE30" s="303">
        <v>1629</v>
      </c>
      <c r="AF30" s="303">
        <v>1630</v>
      </c>
      <c r="AG30" s="303">
        <v>1630</v>
      </c>
      <c r="AH30" s="303">
        <v>1629</v>
      </c>
      <c r="AI30" s="303">
        <v>1639</v>
      </c>
      <c r="AJ30" s="229">
        <f t="shared" si="4"/>
        <v>64.4007858546169</v>
      </c>
      <c r="AK30" s="54" t="s">
        <v>53</v>
      </c>
    </row>
    <row r="31" spans="1:37" ht="12.75" customHeight="1">
      <c r="A31" s="8"/>
      <c r="B31" s="10" t="s">
        <v>37</v>
      </c>
      <c r="C31" s="335">
        <v>11012</v>
      </c>
      <c r="D31" s="311">
        <v>11110</v>
      </c>
      <c r="E31" s="311">
        <v>11348</v>
      </c>
      <c r="F31" s="311">
        <v>11376</v>
      </c>
      <c r="G31" s="311">
        <v>11385</v>
      </c>
      <c r="H31" s="311">
        <v>11380</v>
      </c>
      <c r="I31" s="311">
        <v>11010</v>
      </c>
      <c r="J31" s="311">
        <v>10981</v>
      </c>
      <c r="K31" s="311">
        <v>11015</v>
      </c>
      <c r="L31" s="311">
        <v>11015</v>
      </c>
      <c r="M31" s="311">
        <v>11002</v>
      </c>
      <c r="N31" s="311">
        <v>11077</v>
      </c>
      <c r="O31" s="311">
        <v>11053</v>
      </c>
      <c r="P31" s="306">
        <v>10948</v>
      </c>
      <c r="Q31" s="311">
        <v>10781</v>
      </c>
      <c r="R31" s="306">
        <v>10777</v>
      </c>
      <c r="S31" s="306">
        <v>10777</v>
      </c>
      <c r="T31" s="306">
        <v>10776</v>
      </c>
      <c r="U31" s="306">
        <v>10777</v>
      </c>
      <c r="V31" s="306">
        <v>10777</v>
      </c>
      <c r="W31" s="306">
        <v>10777</v>
      </c>
      <c r="X31" s="306">
        <v>10768</v>
      </c>
      <c r="Y31" s="306">
        <v>10770</v>
      </c>
      <c r="Z31" s="306">
        <v>10770</v>
      </c>
      <c r="AA31" s="331">
        <v>3979</v>
      </c>
      <c r="AB31" s="332">
        <v>3974</v>
      </c>
      <c r="AC31" s="332">
        <v>4002</v>
      </c>
      <c r="AD31" s="332">
        <v>4031</v>
      </c>
      <c r="AE31" s="332">
        <v>4032</v>
      </c>
      <c r="AF31" s="332">
        <v>4032</v>
      </c>
      <c r="AG31" s="332">
        <v>4029</v>
      </c>
      <c r="AH31" s="332">
        <v>4029</v>
      </c>
      <c r="AI31" s="332">
        <v>4030</v>
      </c>
      <c r="AJ31" s="227">
        <f t="shared" si="4"/>
        <v>37.41875580315692</v>
      </c>
      <c r="AK31" s="10" t="s">
        <v>37</v>
      </c>
    </row>
    <row r="32" spans="1:37" ht="12.75" customHeight="1">
      <c r="A32" s="8"/>
      <c r="B32" s="54" t="s">
        <v>39</v>
      </c>
      <c r="C32" s="334">
        <v>1055</v>
      </c>
      <c r="D32" s="303">
        <v>1058</v>
      </c>
      <c r="E32" s="303">
        <v>1196</v>
      </c>
      <c r="F32" s="240">
        <v>1201</v>
      </c>
      <c r="G32" s="240">
        <v>1201</v>
      </c>
      <c r="H32" s="240">
        <v>1201</v>
      </c>
      <c r="I32" s="240">
        <v>1201</v>
      </c>
      <c r="J32" s="240">
        <v>1201</v>
      </c>
      <c r="K32" s="240">
        <v>1201</v>
      </c>
      <c r="L32" s="240">
        <v>1229</v>
      </c>
      <c r="M32" s="240">
        <v>1229</v>
      </c>
      <c r="N32" s="240">
        <v>1229</v>
      </c>
      <c r="O32" s="240">
        <v>1229</v>
      </c>
      <c r="P32" s="240">
        <v>1228</v>
      </c>
      <c r="Q32" s="240">
        <v>1228</v>
      </c>
      <c r="R32" s="240">
        <v>1228</v>
      </c>
      <c r="S32" s="240">
        <v>1228</v>
      </c>
      <c r="T32" s="240">
        <v>1228</v>
      </c>
      <c r="U32" s="240">
        <v>1228</v>
      </c>
      <c r="V32" s="240">
        <v>1209</v>
      </c>
      <c r="W32" s="240">
        <v>1209</v>
      </c>
      <c r="X32" s="240">
        <v>1209</v>
      </c>
      <c r="Y32" s="240">
        <v>1208</v>
      </c>
      <c r="Z32" s="240">
        <v>1209</v>
      </c>
      <c r="AA32" s="334">
        <v>503</v>
      </c>
      <c r="AB32" s="303">
        <v>503</v>
      </c>
      <c r="AC32" s="303">
        <v>503</v>
      </c>
      <c r="AD32" s="303">
        <v>503</v>
      </c>
      <c r="AE32" s="303">
        <v>500</v>
      </c>
      <c r="AF32" s="303">
        <v>500</v>
      </c>
      <c r="AG32" s="303">
        <v>500</v>
      </c>
      <c r="AH32" s="303">
        <v>500</v>
      </c>
      <c r="AI32" s="303">
        <v>500</v>
      </c>
      <c r="AJ32" s="229">
        <f t="shared" si="4"/>
        <v>41.3564929693962</v>
      </c>
      <c r="AK32" s="54" t="s">
        <v>39</v>
      </c>
    </row>
    <row r="33" spans="1:37" ht="12.75" customHeight="1">
      <c r="A33" s="8"/>
      <c r="B33" s="10" t="s">
        <v>38</v>
      </c>
      <c r="C33" s="335"/>
      <c r="D33" s="311"/>
      <c r="E33" s="311">
        <v>3660</v>
      </c>
      <c r="F33" s="311">
        <v>3665</v>
      </c>
      <c r="G33" s="311">
        <v>3673</v>
      </c>
      <c r="H33" s="311">
        <v>3673</v>
      </c>
      <c r="I33" s="311">
        <v>3665</v>
      </c>
      <c r="J33" s="311">
        <v>3665</v>
      </c>
      <c r="K33" s="311">
        <v>3662</v>
      </c>
      <c r="L33" s="311">
        <v>3662</v>
      </c>
      <c r="M33" s="311">
        <v>3657</v>
      </c>
      <c r="N33" s="311">
        <v>3657</v>
      </c>
      <c r="O33" s="311">
        <v>3660</v>
      </c>
      <c r="P33" s="306">
        <v>3658</v>
      </c>
      <c r="Q33" s="311">
        <v>3658</v>
      </c>
      <c r="R33" s="306">
        <v>3629</v>
      </c>
      <c r="S33" s="306">
        <v>3623</v>
      </c>
      <c r="T33" s="306">
        <v>3623</v>
      </c>
      <c r="U33" s="306">
        <v>3622</v>
      </c>
      <c r="V33" s="306">
        <v>3624</v>
      </c>
      <c r="W33" s="306">
        <v>3631</v>
      </c>
      <c r="X33" s="306">
        <v>3631</v>
      </c>
      <c r="Y33" s="306">
        <v>3627</v>
      </c>
      <c r="Z33" s="306">
        <v>3626</v>
      </c>
      <c r="AA33" s="331">
        <v>1578</v>
      </c>
      <c r="AB33" s="332">
        <v>1577</v>
      </c>
      <c r="AC33" s="332">
        <v>1577</v>
      </c>
      <c r="AD33" s="332">
        <v>1578</v>
      </c>
      <c r="AE33" s="332">
        <v>1578</v>
      </c>
      <c r="AF33" s="332">
        <v>1586</v>
      </c>
      <c r="AG33" s="332">
        <v>1586</v>
      </c>
      <c r="AH33" s="332">
        <v>1586</v>
      </c>
      <c r="AI33" s="332">
        <v>1587</v>
      </c>
      <c r="AJ33" s="227">
        <f t="shared" si="4"/>
        <v>43.76723662437948</v>
      </c>
      <c r="AK33" s="10" t="s">
        <v>38</v>
      </c>
    </row>
    <row r="34" spans="1:37" ht="12.75" customHeight="1">
      <c r="A34" s="8"/>
      <c r="B34" s="54" t="s">
        <v>54</v>
      </c>
      <c r="C34" s="334">
        <v>5804</v>
      </c>
      <c r="D34" s="303">
        <v>6075</v>
      </c>
      <c r="E34" s="303">
        <v>5867</v>
      </c>
      <c r="F34" s="303">
        <v>5880</v>
      </c>
      <c r="G34" s="303">
        <v>5859</v>
      </c>
      <c r="H34" s="303">
        <v>5865</v>
      </c>
      <c r="I34" s="303">
        <v>5867</v>
      </c>
      <c r="J34" s="303">
        <v>5836</v>
      </c>
      <c r="K34" s="303">
        <v>5854</v>
      </c>
      <c r="L34" s="303">
        <v>5850</v>
      </c>
      <c r="M34" s="303">
        <v>5850</v>
      </c>
      <c r="N34" s="303">
        <v>5851</v>
      </c>
      <c r="O34" s="303">
        <v>5741</v>
      </c>
      <c r="P34" s="240">
        <v>5732</v>
      </c>
      <c r="Q34" s="303">
        <v>5905</v>
      </c>
      <c r="R34" s="240">
        <v>5899</v>
      </c>
      <c r="S34" s="240">
        <v>5919</v>
      </c>
      <c r="T34" s="240">
        <v>5919</v>
      </c>
      <c r="U34" s="240">
        <v>5919</v>
      </c>
      <c r="V34" s="240">
        <v>5944</v>
      </c>
      <c r="W34" s="240">
        <v>5944</v>
      </c>
      <c r="X34" s="240">
        <v>5944</v>
      </c>
      <c r="Y34" s="240">
        <v>5944</v>
      </c>
      <c r="Z34" s="240">
        <v>5923</v>
      </c>
      <c r="AA34" s="334">
        <v>3047</v>
      </c>
      <c r="AB34" s="303">
        <v>3067</v>
      </c>
      <c r="AC34" s="303">
        <v>3067</v>
      </c>
      <c r="AD34" s="303">
        <v>3073</v>
      </c>
      <c r="AE34" s="303">
        <v>3172</v>
      </c>
      <c r="AF34" s="303">
        <v>3172</v>
      </c>
      <c r="AG34" s="303">
        <v>3172</v>
      </c>
      <c r="AH34" s="303">
        <v>3256</v>
      </c>
      <c r="AI34" s="303">
        <v>3262</v>
      </c>
      <c r="AJ34" s="229">
        <f t="shared" si="4"/>
        <v>55.07344251224042</v>
      </c>
      <c r="AK34" s="54" t="s">
        <v>54</v>
      </c>
    </row>
    <row r="35" spans="1:37" ht="12.75" customHeight="1">
      <c r="A35" s="8"/>
      <c r="B35" s="10" t="s">
        <v>55</v>
      </c>
      <c r="C35" s="335">
        <v>12203</v>
      </c>
      <c r="D35" s="311">
        <v>12006</v>
      </c>
      <c r="E35" s="311">
        <v>11193</v>
      </c>
      <c r="F35" s="311">
        <v>10925</v>
      </c>
      <c r="G35" s="311">
        <v>10964</v>
      </c>
      <c r="H35" s="311">
        <v>10941</v>
      </c>
      <c r="I35" s="311">
        <v>10997</v>
      </c>
      <c r="J35" s="311">
        <v>11044</v>
      </c>
      <c r="K35" s="311">
        <v>11037</v>
      </c>
      <c r="L35" s="311">
        <v>11021</v>
      </c>
      <c r="M35" s="311">
        <v>11095</v>
      </c>
      <c r="N35" s="311">
        <v>11037</v>
      </c>
      <c r="O35" s="311">
        <v>11050</v>
      </c>
      <c r="P35" s="306">
        <v>11017</v>
      </c>
      <c r="Q35" s="311">
        <v>11020</v>
      </c>
      <c r="R35" s="306">
        <v>10972</v>
      </c>
      <c r="S35" s="306">
        <v>11032</v>
      </c>
      <c r="T35" s="306">
        <v>11138</v>
      </c>
      <c r="U35" s="306">
        <v>11160</v>
      </c>
      <c r="V35" s="306">
        <v>11206</v>
      </c>
      <c r="W35" s="306">
        <v>11136</v>
      </c>
      <c r="X35" s="306">
        <v>10957</v>
      </c>
      <c r="Y35" s="306">
        <v>10881</v>
      </c>
      <c r="Z35" s="306">
        <v>10908</v>
      </c>
      <c r="AA35" s="335">
        <v>7848</v>
      </c>
      <c r="AB35" s="311">
        <v>7867</v>
      </c>
      <c r="AC35" s="311">
        <v>7963</v>
      </c>
      <c r="AD35" s="311">
        <v>7965</v>
      </c>
      <c r="AE35" s="311">
        <v>8119</v>
      </c>
      <c r="AF35" s="311">
        <v>8194</v>
      </c>
      <c r="AG35" s="311">
        <v>8214</v>
      </c>
      <c r="AH35" s="311">
        <v>8232</v>
      </c>
      <c r="AI35" s="311">
        <v>8235</v>
      </c>
      <c r="AJ35" s="227">
        <f t="shared" si="4"/>
        <v>75.4950495049505</v>
      </c>
      <c r="AK35" s="10" t="s">
        <v>55</v>
      </c>
    </row>
    <row r="36" spans="1:37" ht="12.75" customHeight="1">
      <c r="A36" s="8"/>
      <c r="B36" s="224" t="s">
        <v>44</v>
      </c>
      <c r="C36" s="346">
        <v>19330</v>
      </c>
      <c r="D36" s="347">
        <v>18030</v>
      </c>
      <c r="E36" s="347">
        <v>16914</v>
      </c>
      <c r="F36" s="347">
        <v>17069</v>
      </c>
      <c r="G36" s="347">
        <v>17066</v>
      </c>
      <c r="H36" s="347">
        <v>17176</v>
      </c>
      <c r="I36" s="347">
        <v>17179</v>
      </c>
      <c r="J36" s="347">
        <v>17064</v>
      </c>
      <c r="K36" s="347">
        <v>17044</v>
      </c>
      <c r="L36" s="347">
        <v>17052</v>
      </c>
      <c r="M36" s="347">
        <v>17052</v>
      </c>
      <c r="N36" s="347">
        <v>17052</v>
      </c>
      <c r="O36" s="347">
        <f>58+340+16116</f>
        <v>16514</v>
      </c>
      <c r="P36" s="249">
        <f>58+340+15810</f>
        <v>16208</v>
      </c>
      <c r="Q36" s="347">
        <f>15795+340+58</f>
        <v>16193</v>
      </c>
      <c r="R36" s="249">
        <f>15814+340+58</f>
        <v>16212</v>
      </c>
      <c r="S36" s="249">
        <f>15814+340+58</f>
        <v>16212</v>
      </c>
      <c r="T36" s="249">
        <f>58+15753+340</f>
        <v>16151</v>
      </c>
      <c r="U36" s="249">
        <f>15777+340+58</f>
        <v>16175</v>
      </c>
      <c r="V36" s="249">
        <f>15738+58+338+274</f>
        <v>16408</v>
      </c>
      <c r="W36" s="249">
        <f>15753+338+274+58</f>
        <v>16423</v>
      </c>
      <c r="X36" s="249">
        <f>15753+274+58+338</f>
        <v>16423</v>
      </c>
      <c r="Y36" s="249">
        <v>16209</v>
      </c>
      <c r="Z36" s="249">
        <v>16209</v>
      </c>
      <c r="AA36" s="346">
        <f>5255+58</f>
        <v>5313</v>
      </c>
      <c r="AB36" s="347">
        <v>5318</v>
      </c>
      <c r="AC36" s="347">
        <f>58+5249</f>
        <v>5307</v>
      </c>
      <c r="AD36" s="347">
        <f>5262+58</f>
        <v>5320</v>
      </c>
      <c r="AE36" s="347">
        <f>5261+58+274</f>
        <v>5593</v>
      </c>
      <c r="AF36" s="347">
        <f>5265+274+58</f>
        <v>5597</v>
      </c>
      <c r="AG36" s="347">
        <f>5268+274+58</f>
        <v>5600</v>
      </c>
      <c r="AH36" s="347">
        <f>Y36*33/100</f>
        <v>5348.97</v>
      </c>
      <c r="AI36" s="347">
        <f>Z36*33.2/100</f>
        <v>5381.388000000001</v>
      </c>
      <c r="AJ36" s="258">
        <f t="shared" si="4"/>
        <v>33.20000000000001</v>
      </c>
      <c r="AK36" s="224" t="s">
        <v>44</v>
      </c>
    </row>
    <row r="37" spans="1:37" ht="12.75" customHeight="1">
      <c r="A37" s="8"/>
      <c r="B37" s="9" t="s">
        <v>131</v>
      </c>
      <c r="C37" s="329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00"/>
      <c r="Q37" s="330"/>
      <c r="R37" s="300"/>
      <c r="S37" s="300"/>
      <c r="T37" s="300">
        <v>423</v>
      </c>
      <c r="U37" s="348">
        <v>423</v>
      </c>
      <c r="V37" s="348">
        <v>423</v>
      </c>
      <c r="W37" s="348">
        <v>423</v>
      </c>
      <c r="X37" s="348">
        <v>423</v>
      </c>
      <c r="Y37" s="348">
        <v>423</v>
      </c>
      <c r="Z37" s="348">
        <v>423</v>
      </c>
      <c r="AA37" s="329"/>
      <c r="AB37" s="330"/>
      <c r="AC37" s="330">
        <v>0</v>
      </c>
      <c r="AD37" s="349">
        <v>0</v>
      </c>
      <c r="AE37" s="349">
        <v>0</v>
      </c>
      <c r="AF37" s="349">
        <v>0</v>
      </c>
      <c r="AG37" s="349">
        <v>0</v>
      </c>
      <c r="AH37" s="349">
        <v>0</v>
      </c>
      <c r="AI37" s="349">
        <v>0</v>
      </c>
      <c r="AJ37" s="317">
        <f t="shared" si="4"/>
        <v>0</v>
      </c>
      <c r="AK37" s="9" t="s">
        <v>131</v>
      </c>
    </row>
    <row r="38" spans="1:37" ht="12.75" customHeight="1">
      <c r="A38" s="8"/>
      <c r="B38" s="224" t="s">
        <v>129</v>
      </c>
      <c r="C38" s="346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>
        <v>249</v>
      </c>
      <c r="P38" s="249">
        <v>248</v>
      </c>
      <c r="Q38" s="347">
        <v>248</v>
      </c>
      <c r="R38" s="249">
        <v>248</v>
      </c>
      <c r="S38" s="249">
        <v>249</v>
      </c>
      <c r="T38" s="249">
        <v>249</v>
      </c>
      <c r="U38" s="249">
        <v>249</v>
      </c>
      <c r="V38" s="249">
        <v>249</v>
      </c>
      <c r="W38" s="249">
        <v>248.76</v>
      </c>
      <c r="X38" s="249">
        <v>248.76</v>
      </c>
      <c r="Y38" s="249">
        <v>250</v>
      </c>
      <c r="Z38" s="249">
        <v>250</v>
      </c>
      <c r="AA38" s="346">
        <v>167</v>
      </c>
      <c r="AB38" s="347">
        <v>168</v>
      </c>
      <c r="AC38" s="347">
        <v>168</v>
      </c>
      <c r="AD38" s="347">
        <v>168</v>
      </c>
      <c r="AE38" s="347">
        <v>224.06</v>
      </c>
      <c r="AF38" s="347">
        <v>224.06</v>
      </c>
      <c r="AG38" s="347">
        <v>224.06</v>
      </c>
      <c r="AH38" s="347">
        <v>224</v>
      </c>
      <c r="AI38" s="347">
        <v>224</v>
      </c>
      <c r="AJ38" s="258">
        <f t="shared" si="4"/>
        <v>89.60000000000001</v>
      </c>
      <c r="AK38" s="224" t="s">
        <v>129</v>
      </c>
    </row>
    <row r="39" spans="1:37" ht="12.75" customHeight="1">
      <c r="A39" s="8"/>
      <c r="B39" s="10" t="s">
        <v>1</v>
      </c>
      <c r="C39" s="335"/>
      <c r="D39" s="311">
        <v>673</v>
      </c>
      <c r="E39" s="311">
        <v>696</v>
      </c>
      <c r="F39" s="311">
        <v>699</v>
      </c>
      <c r="G39" s="311">
        <v>699</v>
      </c>
      <c r="H39" s="311">
        <v>699</v>
      </c>
      <c r="I39" s="311">
        <v>699</v>
      </c>
      <c r="J39" s="311">
        <v>699</v>
      </c>
      <c r="K39" s="311">
        <v>699</v>
      </c>
      <c r="L39" s="311">
        <v>699</v>
      </c>
      <c r="M39" s="311">
        <v>699</v>
      </c>
      <c r="N39" s="311">
        <v>699</v>
      </c>
      <c r="O39" s="311">
        <v>699</v>
      </c>
      <c r="P39" s="306">
        <v>699</v>
      </c>
      <c r="Q39" s="311">
        <v>699</v>
      </c>
      <c r="R39" s="306">
        <v>699</v>
      </c>
      <c r="S39" s="306">
        <v>699</v>
      </c>
      <c r="T39" s="306">
        <v>699</v>
      </c>
      <c r="U39" s="306">
        <v>699</v>
      </c>
      <c r="V39" s="306">
        <v>699</v>
      </c>
      <c r="W39" s="306">
        <v>699</v>
      </c>
      <c r="X39" s="306">
        <v>699</v>
      </c>
      <c r="Y39" s="306">
        <v>699</v>
      </c>
      <c r="Z39" s="306">
        <v>699</v>
      </c>
      <c r="AA39" s="335">
        <v>234</v>
      </c>
      <c r="AB39" s="311">
        <v>234</v>
      </c>
      <c r="AC39" s="311">
        <v>234</v>
      </c>
      <c r="AD39" s="311">
        <v>234</v>
      </c>
      <c r="AE39" s="311">
        <v>234</v>
      </c>
      <c r="AF39" s="311">
        <v>234</v>
      </c>
      <c r="AG39" s="311">
        <v>234</v>
      </c>
      <c r="AH39" s="311">
        <v>234</v>
      </c>
      <c r="AI39" s="311">
        <v>234</v>
      </c>
      <c r="AJ39" s="227">
        <f t="shared" si="4"/>
        <v>33.47639484978541</v>
      </c>
      <c r="AK39" s="10" t="s">
        <v>1</v>
      </c>
    </row>
    <row r="40" spans="1:37" ht="12.75" customHeight="1">
      <c r="A40" s="8"/>
      <c r="B40" s="224" t="s">
        <v>130</v>
      </c>
      <c r="C40" s="346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>
        <v>3809</v>
      </c>
      <c r="O40" s="249">
        <v>3809</v>
      </c>
      <c r="P40" s="249">
        <v>3809</v>
      </c>
      <c r="Q40" s="347">
        <v>3809</v>
      </c>
      <c r="R40" s="249">
        <v>3809</v>
      </c>
      <c r="S40" s="249">
        <v>3809</v>
      </c>
      <c r="T40" s="249">
        <v>3809</v>
      </c>
      <c r="U40" s="249">
        <v>3809</v>
      </c>
      <c r="V40" s="249">
        <v>3809</v>
      </c>
      <c r="W40" s="249">
        <v>3809</v>
      </c>
      <c r="X40" s="249">
        <v>3809</v>
      </c>
      <c r="Y40" s="249">
        <v>3809</v>
      </c>
      <c r="Z40" s="249">
        <v>3809</v>
      </c>
      <c r="AA40" s="346">
        <v>1254</v>
      </c>
      <c r="AB40" s="347">
        <v>1254</v>
      </c>
      <c r="AC40" s="347">
        <v>1254</v>
      </c>
      <c r="AD40" s="347">
        <v>1278</v>
      </c>
      <c r="AE40" s="347">
        <v>1279</v>
      </c>
      <c r="AF40" s="347">
        <v>1279</v>
      </c>
      <c r="AG40" s="347">
        <v>1275</v>
      </c>
      <c r="AH40" s="347">
        <v>1275</v>
      </c>
      <c r="AI40" s="347">
        <v>1275</v>
      </c>
      <c r="AJ40" s="258">
        <f t="shared" si="4"/>
        <v>33.47335258598057</v>
      </c>
      <c r="AK40" s="224" t="s">
        <v>130</v>
      </c>
    </row>
    <row r="41" spans="1:37" ht="12.75" customHeight="1">
      <c r="A41" s="8"/>
      <c r="B41" s="12" t="s">
        <v>40</v>
      </c>
      <c r="C41" s="350">
        <v>7985</v>
      </c>
      <c r="D41" s="351">
        <v>8387</v>
      </c>
      <c r="E41" s="351">
        <v>8429</v>
      </c>
      <c r="F41" s="351">
        <v>8549</v>
      </c>
      <c r="G41" s="351">
        <v>8607</v>
      </c>
      <c r="H41" s="351">
        <v>8607</v>
      </c>
      <c r="I41" s="351">
        <v>8607</v>
      </c>
      <c r="J41" s="351">
        <v>8682</v>
      </c>
      <c r="K41" s="351">
        <v>8671</v>
      </c>
      <c r="L41" s="351">
        <v>8671</v>
      </c>
      <c r="M41" s="351">
        <v>8671</v>
      </c>
      <c r="N41" s="351">
        <v>8697</v>
      </c>
      <c r="O41" s="351">
        <v>8697</v>
      </c>
      <c r="P41" s="314">
        <v>8697</v>
      </c>
      <c r="Q41" s="351">
        <v>8697</v>
      </c>
      <c r="R41" s="314">
        <v>8697</v>
      </c>
      <c r="S41" s="314">
        <v>8699</v>
      </c>
      <c r="T41" s="314">
        <v>9080</v>
      </c>
      <c r="U41" s="306">
        <v>9594</v>
      </c>
      <c r="V41" s="306">
        <v>9642</v>
      </c>
      <c r="W41" s="306">
        <v>9642</v>
      </c>
      <c r="X41" s="306">
        <v>9718</v>
      </c>
      <c r="Y41" s="306">
        <v>10087</v>
      </c>
      <c r="Z41" s="306">
        <v>10131</v>
      </c>
      <c r="AA41" s="335">
        <v>1920</v>
      </c>
      <c r="AB41" s="311">
        <v>1928</v>
      </c>
      <c r="AC41" s="311">
        <v>2313</v>
      </c>
      <c r="AD41" s="311">
        <v>2791</v>
      </c>
      <c r="AE41" s="311">
        <v>2789</v>
      </c>
      <c r="AF41" s="311">
        <v>2840</v>
      </c>
      <c r="AG41" s="311">
        <v>2922</v>
      </c>
      <c r="AH41" s="311">
        <v>3330</v>
      </c>
      <c r="AI41" s="311">
        <v>3423</v>
      </c>
      <c r="AJ41" s="227">
        <f t="shared" si="4"/>
        <v>33.7873852531833</v>
      </c>
      <c r="AK41" s="12" t="s">
        <v>40</v>
      </c>
    </row>
    <row r="42" spans="1:37" ht="12.75" customHeight="1">
      <c r="A42" s="8"/>
      <c r="B42" s="224" t="s">
        <v>26</v>
      </c>
      <c r="C42" s="310" t="s">
        <v>59</v>
      </c>
      <c r="D42" s="352" t="s">
        <v>59</v>
      </c>
      <c r="E42" s="353" t="s">
        <v>59</v>
      </c>
      <c r="F42" s="353" t="s">
        <v>59</v>
      </c>
      <c r="G42" s="352" t="s">
        <v>59</v>
      </c>
      <c r="H42" s="352" t="s">
        <v>59</v>
      </c>
      <c r="I42" s="352" t="s">
        <v>59</v>
      </c>
      <c r="J42" s="352" t="s">
        <v>59</v>
      </c>
      <c r="K42" s="352" t="s">
        <v>59</v>
      </c>
      <c r="L42" s="352" t="s">
        <v>59</v>
      </c>
      <c r="M42" s="352" t="s">
        <v>59</v>
      </c>
      <c r="N42" s="352" t="s">
        <v>59</v>
      </c>
      <c r="O42" s="353" t="s">
        <v>59</v>
      </c>
      <c r="P42" s="353" t="s">
        <v>59</v>
      </c>
      <c r="Q42" s="353" t="s">
        <v>59</v>
      </c>
      <c r="R42" s="353" t="s">
        <v>59</v>
      </c>
      <c r="S42" s="353" t="s">
        <v>59</v>
      </c>
      <c r="T42" s="353" t="s">
        <v>59</v>
      </c>
      <c r="U42" s="353" t="s">
        <v>59</v>
      </c>
      <c r="V42" s="353" t="s">
        <v>59</v>
      </c>
      <c r="W42" s="353" t="s">
        <v>59</v>
      </c>
      <c r="X42" s="353" t="s">
        <v>59</v>
      </c>
      <c r="Y42" s="353" t="s">
        <v>59</v>
      </c>
      <c r="Z42" s="353" t="s">
        <v>59</v>
      </c>
      <c r="AA42" s="354" t="s">
        <v>59</v>
      </c>
      <c r="AB42" s="353" t="s">
        <v>59</v>
      </c>
      <c r="AC42" s="353" t="s">
        <v>59</v>
      </c>
      <c r="AD42" s="353" t="s">
        <v>59</v>
      </c>
      <c r="AE42" s="353" t="s">
        <v>59</v>
      </c>
      <c r="AF42" s="353" t="s">
        <v>59</v>
      </c>
      <c r="AG42" s="353" t="s">
        <v>59</v>
      </c>
      <c r="AH42" s="353" t="s">
        <v>59</v>
      </c>
      <c r="AI42" s="353" t="s">
        <v>59</v>
      </c>
      <c r="AJ42" s="298" t="s">
        <v>59</v>
      </c>
      <c r="AK42" s="224" t="s">
        <v>26</v>
      </c>
    </row>
    <row r="43" spans="1:37" ht="12.75" customHeight="1">
      <c r="A43" s="8"/>
      <c r="B43" s="10" t="s">
        <v>56</v>
      </c>
      <c r="C43" s="335">
        <v>4242</v>
      </c>
      <c r="D43" s="311">
        <v>4242</v>
      </c>
      <c r="E43" s="311">
        <v>4044</v>
      </c>
      <c r="F43" s="311">
        <v>4023</v>
      </c>
      <c r="G43" s="311">
        <v>4152</v>
      </c>
      <c r="H43" s="311">
        <v>4152</v>
      </c>
      <c r="I43" s="311">
        <v>4152</v>
      </c>
      <c r="J43" s="311">
        <v>4021</v>
      </c>
      <c r="K43" s="311">
        <v>4413</v>
      </c>
      <c r="L43" s="311">
        <v>4425</v>
      </c>
      <c r="M43" s="311">
        <v>4324</v>
      </c>
      <c r="N43" s="311">
        <v>4334</v>
      </c>
      <c r="O43" s="311">
        <v>4334</v>
      </c>
      <c r="P43" s="306">
        <v>4334</v>
      </c>
      <c r="Q43" s="311">
        <v>4338</v>
      </c>
      <c r="R43" s="306">
        <v>4374</v>
      </c>
      <c r="S43" s="306">
        <v>4341</v>
      </c>
      <c r="T43" s="306">
        <v>4151</v>
      </c>
      <c r="U43" s="306">
        <v>4199</v>
      </c>
      <c r="V43" s="306">
        <v>4154</v>
      </c>
      <c r="W43" s="398">
        <f>4230-339</f>
        <v>3891</v>
      </c>
      <c r="X43" s="306">
        <f>4224-327</f>
        <v>3897</v>
      </c>
      <c r="Y43" s="306">
        <f>4219-352</f>
        <v>3867</v>
      </c>
      <c r="Z43" s="306">
        <v>3857</v>
      </c>
      <c r="AA43" s="335">
        <v>2792</v>
      </c>
      <c r="AB43" s="311">
        <v>2779</v>
      </c>
      <c r="AC43" s="311">
        <v>2746</v>
      </c>
      <c r="AD43" s="311">
        <v>2765</v>
      </c>
      <c r="AE43" s="311">
        <v>2500</v>
      </c>
      <c r="AF43" s="311">
        <v>2489</v>
      </c>
      <c r="AG43" s="311">
        <v>2500</v>
      </c>
      <c r="AH43" s="311">
        <v>2470</v>
      </c>
      <c r="AI43" s="311">
        <f>Z43*63.8/100</f>
        <v>2460.7659999999996</v>
      </c>
      <c r="AJ43" s="227">
        <f t="shared" si="4"/>
        <v>63.79999999999999</v>
      </c>
      <c r="AK43" s="10" t="s">
        <v>56</v>
      </c>
    </row>
    <row r="44" spans="1:37" ht="12.75" customHeight="1">
      <c r="A44" s="8"/>
      <c r="B44" s="251" t="s">
        <v>27</v>
      </c>
      <c r="C44" s="355">
        <v>3161</v>
      </c>
      <c r="D44" s="356">
        <v>3178</v>
      </c>
      <c r="E44" s="356">
        <v>3215</v>
      </c>
      <c r="F44" s="356">
        <v>3232</v>
      </c>
      <c r="G44" s="356">
        <v>3234</v>
      </c>
      <c r="H44" s="356">
        <v>3184</v>
      </c>
      <c r="I44" s="356">
        <v>3151</v>
      </c>
      <c r="J44" s="356">
        <v>3143</v>
      </c>
      <c r="K44" s="356">
        <v>3216</v>
      </c>
      <c r="L44" s="356">
        <v>3225</v>
      </c>
      <c r="M44" s="356">
        <v>3222</v>
      </c>
      <c r="N44" s="356">
        <f>2990+241</f>
        <v>3231</v>
      </c>
      <c r="O44" s="356">
        <v>3381</v>
      </c>
      <c r="P44" s="357">
        <f>241+3158</f>
        <v>3399</v>
      </c>
      <c r="Q44" s="356">
        <f>3158+405</f>
        <v>3563</v>
      </c>
      <c r="R44" s="357">
        <f>3158+405</f>
        <v>3563</v>
      </c>
      <c r="S44" s="357">
        <v>3557</v>
      </c>
      <c r="T44" s="357">
        <f>460+3139</f>
        <v>3599</v>
      </c>
      <c r="U44" s="357">
        <f>3137+460</f>
        <v>3597</v>
      </c>
      <c r="V44" s="357">
        <v>3574</v>
      </c>
      <c r="W44" s="357">
        <f>3138+413</f>
        <v>3551</v>
      </c>
      <c r="X44" s="357">
        <f>3175+413</f>
        <v>3588</v>
      </c>
      <c r="Y44" s="357">
        <f>3171+436</f>
        <v>3607</v>
      </c>
      <c r="Z44" s="357">
        <f>3172+420</f>
        <v>3592</v>
      </c>
      <c r="AA44" s="355">
        <f>3158+405</f>
        <v>3563</v>
      </c>
      <c r="AB44" s="356">
        <v>3557</v>
      </c>
      <c r="AC44" s="356">
        <f>460+3139</f>
        <v>3599</v>
      </c>
      <c r="AD44" s="356">
        <f>3137+436</f>
        <v>3573</v>
      </c>
      <c r="AE44" s="356">
        <f>3137+436</f>
        <v>3573</v>
      </c>
      <c r="AF44" s="356">
        <f>3137+413</f>
        <v>3550</v>
      </c>
      <c r="AG44" s="356">
        <f>3174+413</f>
        <v>3587</v>
      </c>
      <c r="AH44" s="356">
        <f>3171+436</f>
        <v>3607</v>
      </c>
      <c r="AI44" s="356">
        <f>3171+420</f>
        <v>3591</v>
      </c>
      <c r="AJ44" s="257">
        <f t="shared" si="4"/>
        <v>99.97216035634744</v>
      </c>
      <c r="AK44" s="251" t="s">
        <v>27</v>
      </c>
    </row>
    <row r="45" spans="2:37" ht="25.5" customHeight="1">
      <c r="B45" s="441" t="s">
        <v>155</v>
      </c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237"/>
      <c r="AE45" s="245"/>
      <c r="AF45" s="190"/>
      <c r="AG45" s="295"/>
      <c r="AH45" s="396"/>
      <c r="AI45" s="424"/>
      <c r="AJ45" s="190"/>
      <c r="AK45" s="190"/>
    </row>
    <row r="46" spans="2:37" ht="12.75" customHeight="1">
      <c r="B46" s="185" t="s">
        <v>0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24"/>
      <c r="Q46" s="24"/>
      <c r="R46" s="24"/>
      <c r="S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ht="11.25">
      <c r="B47" s="230" t="s">
        <v>167</v>
      </c>
    </row>
    <row r="48" ht="11.25">
      <c r="B48" s="230" t="s">
        <v>168</v>
      </c>
    </row>
    <row r="49" ht="11.25">
      <c r="B49" s="2" t="s">
        <v>150</v>
      </c>
    </row>
    <row r="50" ht="11.25">
      <c r="F50" s="185"/>
    </row>
    <row r="51" spans="10:21" ht="12.75">
      <c r="J51"/>
      <c r="K51"/>
      <c r="L51"/>
      <c r="M51"/>
      <c r="N51"/>
      <c r="O51"/>
      <c r="P51"/>
      <c r="Q51"/>
      <c r="R51"/>
      <c r="S51"/>
      <c r="T51"/>
      <c r="U51"/>
    </row>
    <row r="52" spans="10:21" ht="12.75">
      <c r="J52"/>
      <c r="K52"/>
      <c r="L52"/>
      <c r="M52"/>
      <c r="N52"/>
      <c r="O52"/>
      <c r="P52"/>
      <c r="Q52"/>
      <c r="R52"/>
      <c r="S52"/>
      <c r="T52"/>
      <c r="U52"/>
    </row>
  </sheetData>
  <sheetProtection/>
  <mergeCells count="3">
    <mergeCell ref="B1:C1"/>
    <mergeCell ref="B45:AC45"/>
    <mergeCell ref="B2:AJ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1"/>
  <dimension ref="A1:L75"/>
  <sheetViews>
    <sheetView zoomScalePageLayoutView="0" workbookViewId="0" topLeftCell="A54">
      <selection activeCell="Q34" sqref="Q34"/>
    </sheetView>
  </sheetViews>
  <sheetFormatPr defaultColWidth="9.140625" defaultRowHeight="12.75"/>
  <cols>
    <col min="1" max="1" width="1.421875" style="0" customWidth="1"/>
    <col min="2" max="2" width="7.57421875" style="0" customWidth="1"/>
    <col min="3" max="11" width="7.7109375" style="0" customWidth="1"/>
    <col min="12" max="12" width="8.421875" style="0" customWidth="1"/>
    <col min="13" max="13" width="1.57421875" style="0" customWidth="1"/>
  </cols>
  <sheetData>
    <row r="1" spans="2:12" ht="14.25" customHeight="1">
      <c r="B1" s="460"/>
      <c r="C1" s="460"/>
      <c r="D1" s="25"/>
      <c r="E1" s="25"/>
      <c r="F1" s="25"/>
      <c r="G1" s="25"/>
      <c r="H1" s="25"/>
      <c r="I1" s="25"/>
      <c r="J1" s="25"/>
      <c r="K1" s="25"/>
      <c r="L1" s="16" t="s">
        <v>115</v>
      </c>
    </row>
    <row r="2" spans="2:12" ht="30" customHeight="1">
      <c r="B2" s="461" t="s">
        <v>61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2:12" ht="15" customHeight="1">
      <c r="B3" s="462" t="s">
        <v>82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2:12" ht="12.75" customHeight="1">
      <c r="B4" s="463" t="s">
        <v>2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</row>
    <row r="5" spans="2:12" s="20" customFormat="1" ht="24.75" customHeight="1">
      <c r="B5" s="32"/>
      <c r="C5" s="60" t="s">
        <v>45</v>
      </c>
      <c r="D5" s="61" t="s">
        <v>46</v>
      </c>
      <c r="E5" s="61" t="s">
        <v>47</v>
      </c>
      <c r="F5" s="61" t="s">
        <v>48</v>
      </c>
      <c r="G5" s="61" t="s">
        <v>50</v>
      </c>
      <c r="H5" s="61" t="s">
        <v>43</v>
      </c>
      <c r="I5" s="61" t="s">
        <v>52</v>
      </c>
      <c r="J5" s="61" t="s">
        <v>36</v>
      </c>
      <c r="K5" s="62" t="s">
        <v>44</v>
      </c>
      <c r="L5" s="62" t="s">
        <v>81</v>
      </c>
    </row>
    <row r="6" spans="2:12" s="15" customFormat="1" ht="12.75" customHeight="1" hidden="1">
      <c r="B6" s="89">
        <v>1981</v>
      </c>
      <c r="C6" s="186" t="s">
        <v>102</v>
      </c>
      <c r="D6" s="175" t="s">
        <v>102</v>
      </c>
      <c r="E6" s="175" t="s">
        <v>102</v>
      </c>
      <c r="F6" s="187">
        <v>301</v>
      </c>
      <c r="G6" s="187">
        <v>150</v>
      </c>
      <c r="H6" s="187"/>
      <c r="I6" s="187"/>
      <c r="J6" s="187"/>
      <c r="K6" s="188" t="s">
        <v>102</v>
      </c>
      <c r="L6" s="189">
        <f aca="true" t="shared" si="0" ref="L6:L34">SUM(C6:K6)</f>
        <v>451</v>
      </c>
    </row>
    <row r="7" spans="2:12" s="15" customFormat="1" ht="12.75" customHeight="1" hidden="1">
      <c r="B7" s="90">
        <v>1983</v>
      </c>
      <c r="C7" s="160" t="s">
        <v>102</v>
      </c>
      <c r="D7" s="161" t="s">
        <v>102</v>
      </c>
      <c r="E7" s="161" t="s">
        <v>102</v>
      </c>
      <c r="F7" s="144">
        <v>417</v>
      </c>
      <c r="G7" s="144">
        <v>150</v>
      </c>
      <c r="H7" s="144"/>
      <c r="I7" s="144"/>
      <c r="J7" s="144"/>
      <c r="K7" s="162" t="s">
        <v>102</v>
      </c>
      <c r="L7" s="145">
        <f t="shared" si="0"/>
        <v>567</v>
      </c>
    </row>
    <row r="8" spans="2:12" s="15" customFormat="1" ht="12.75" customHeight="1" hidden="1">
      <c r="B8" s="90">
        <v>1984</v>
      </c>
      <c r="C8" s="160" t="s">
        <v>102</v>
      </c>
      <c r="D8" s="161" t="s">
        <v>102</v>
      </c>
      <c r="E8" s="161" t="s">
        <v>102</v>
      </c>
      <c r="F8" s="144">
        <v>417</v>
      </c>
      <c r="G8" s="144">
        <v>224</v>
      </c>
      <c r="H8" s="144"/>
      <c r="I8" s="144"/>
      <c r="J8" s="144"/>
      <c r="K8" s="162" t="s">
        <v>102</v>
      </c>
      <c r="L8" s="145">
        <f t="shared" si="0"/>
        <v>641</v>
      </c>
    </row>
    <row r="9" spans="2:12" s="20" customFormat="1" ht="12.75" customHeight="1">
      <c r="B9" s="90">
        <v>1985</v>
      </c>
      <c r="C9" s="309" t="s">
        <v>102</v>
      </c>
      <c r="D9" s="342" t="s">
        <v>102</v>
      </c>
      <c r="E9" s="342" t="s">
        <v>102</v>
      </c>
      <c r="F9" s="341">
        <v>419</v>
      </c>
      <c r="G9" s="341">
        <v>224</v>
      </c>
      <c r="H9" s="360" t="s">
        <v>59</v>
      </c>
      <c r="I9" s="344" t="s">
        <v>59</v>
      </c>
      <c r="J9" s="344" t="s">
        <v>59</v>
      </c>
      <c r="K9" s="361" t="s">
        <v>102</v>
      </c>
      <c r="L9" s="362">
        <f t="shared" si="0"/>
        <v>643</v>
      </c>
    </row>
    <row r="10" spans="2:12" s="20" customFormat="1" ht="12.75" customHeight="1" hidden="1">
      <c r="B10" s="90">
        <v>1986</v>
      </c>
      <c r="C10" s="309" t="s">
        <v>102</v>
      </c>
      <c r="D10" s="342" t="s">
        <v>102</v>
      </c>
      <c r="E10" s="342" t="s">
        <v>102</v>
      </c>
      <c r="F10" s="341">
        <v>419</v>
      </c>
      <c r="G10" s="341">
        <v>224</v>
      </c>
      <c r="H10" s="344" t="s">
        <v>59</v>
      </c>
      <c r="I10" s="344" t="s">
        <v>59</v>
      </c>
      <c r="J10" s="344"/>
      <c r="K10" s="361" t="s">
        <v>102</v>
      </c>
      <c r="L10" s="362">
        <f t="shared" si="0"/>
        <v>643</v>
      </c>
    </row>
    <row r="11" spans="2:12" s="20" customFormat="1" ht="12.75" customHeight="1" hidden="1">
      <c r="B11" s="90">
        <v>1987</v>
      </c>
      <c r="C11" s="309" t="s">
        <v>102</v>
      </c>
      <c r="D11" s="342" t="s">
        <v>102</v>
      </c>
      <c r="E11" s="342" t="s">
        <v>102</v>
      </c>
      <c r="F11" s="341">
        <v>419</v>
      </c>
      <c r="G11" s="341">
        <v>224</v>
      </c>
      <c r="H11" s="344" t="s">
        <v>59</v>
      </c>
      <c r="I11" s="344" t="s">
        <v>59</v>
      </c>
      <c r="J11" s="344"/>
      <c r="K11" s="361" t="s">
        <v>102</v>
      </c>
      <c r="L11" s="362">
        <f t="shared" si="0"/>
        <v>643</v>
      </c>
    </row>
    <row r="12" spans="2:12" s="20" customFormat="1" ht="12.75" customHeight="1" hidden="1">
      <c r="B12" s="90">
        <v>1988</v>
      </c>
      <c r="C12" s="309" t="s">
        <v>102</v>
      </c>
      <c r="D12" s="342">
        <v>90</v>
      </c>
      <c r="E12" s="342" t="s">
        <v>102</v>
      </c>
      <c r="F12" s="341">
        <v>419</v>
      </c>
      <c r="G12" s="341">
        <v>224</v>
      </c>
      <c r="H12" s="344" t="s">
        <v>59</v>
      </c>
      <c r="I12" s="344" t="s">
        <v>59</v>
      </c>
      <c r="J12" s="344"/>
      <c r="K12" s="361" t="s">
        <v>102</v>
      </c>
      <c r="L12" s="362">
        <f t="shared" si="0"/>
        <v>733</v>
      </c>
    </row>
    <row r="13" spans="2:12" s="20" customFormat="1" ht="12.75" customHeight="1" hidden="1">
      <c r="B13" s="90">
        <v>1989</v>
      </c>
      <c r="C13" s="309" t="s">
        <v>102</v>
      </c>
      <c r="D13" s="342">
        <v>90</v>
      </c>
      <c r="E13" s="342" t="s">
        <v>102</v>
      </c>
      <c r="F13" s="341">
        <f>419+291</f>
        <v>710</v>
      </c>
      <c r="G13" s="341">
        <v>224</v>
      </c>
      <c r="H13" s="344" t="s">
        <v>59</v>
      </c>
      <c r="I13" s="344" t="s">
        <v>59</v>
      </c>
      <c r="J13" s="344"/>
      <c r="K13" s="361" t="s">
        <v>102</v>
      </c>
      <c r="L13" s="362">
        <f t="shared" si="0"/>
        <v>1024</v>
      </c>
    </row>
    <row r="14" spans="2:12" s="20" customFormat="1" ht="12.75" customHeight="1">
      <c r="B14" s="90">
        <v>1990</v>
      </c>
      <c r="C14" s="309" t="s">
        <v>102</v>
      </c>
      <c r="D14" s="342">
        <v>90</v>
      </c>
      <c r="E14" s="342" t="s">
        <v>102</v>
      </c>
      <c r="F14" s="341">
        <v>710</v>
      </c>
      <c r="G14" s="341">
        <v>224</v>
      </c>
      <c r="H14" s="344" t="s">
        <v>59</v>
      </c>
      <c r="I14" s="344" t="s">
        <v>59</v>
      </c>
      <c r="J14" s="344" t="s">
        <v>59</v>
      </c>
      <c r="K14" s="361" t="s">
        <v>102</v>
      </c>
      <c r="L14" s="362">
        <f t="shared" si="0"/>
        <v>1024</v>
      </c>
    </row>
    <row r="15" spans="2:12" s="20" customFormat="1" ht="12.75" customHeight="1" hidden="1">
      <c r="B15" s="90">
        <v>1991</v>
      </c>
      <c r="C15" s="309" t="s">
        <v>102</v>
      </c>
      <c r="D15" s="342">
        <v>199</v>
      </c>
      <c r="E15" s="342" t="s">
        <v>102</v>
      </c>
      <c r="F15" s="341">
        <v>710</v>
      </c>
      <c r="G15" s="341">
        <v>224</v>
      </c>
      <c r="H15" s="344" t="s">
        <v>59</v>
      </c>
      <c r="I15" s="344" t="s">
        <v>59</v>
      </c>
      <c r="J15" s="344"/>
      <c r="K15" s="361" t="s">
        <v>102</v>
      </c>
      <c r="L15" s="362">
        <f t="shared" si="0"/>
        <v>1133</v>
      </c>
    </row>
    <row r="16" spans="2:12" s="20" customFormat="1" ht="12.75" customHeight="1" hidden="1">
      <c r="B16" s="90">
        <v>1992</v>
      </c>
      <c r="C16" s="309" t="s">
        <v>102</v>
      </c>
      <c r="D16" s="342">
        <v>199</v>
      </c>
      <c r="E16" s="342">
        <v>471</v>
      </c>
      <c r="F16" s="341">
        <v>710</v>
      </c>
      <c r="G16" s="341">
        <v>248</v>
      </c>
      <c r="H16" s="344" t="s">
        <v>59</v>
      </c>
      <c r="I16" s="344" t="s">
        <v>59</v>
      </c>
      <c r="J16" s="344"/>
      <c r="K16" s="361" t="s">
        <v>102</v>
      </c>
      <c r="L16" s="362">
        <f t="shared" si="0"/>
        <v>1628</v>
      </c>
    </row>
    <row r="17" spans="2:12" s="20" customFormat="1" ht="12.75" customHeight="1" hidden="1">
      <c r="B17" s="90">
        <v>1993</v>
      </c>
      <c r="C17" s="309" t="s">
        <v>102</v>
      </c>
      <c r="D17" s="342">
        <v>199</v>
      </c>
      <c r="E17" s="342">
        <v>471</v>
      </c>
      <c r="F17" s="341">
        <f>710+121</f>
        <v>831</v>
      </c>
      <c r="G17" s="341">
        <v>248</v>
      </c>
      <c r="H17" s="344" t="s">
        <v>59</v>
      </c>
      <c r="I17" s="344" t="s">
        <v>59</v>
      </c>
      <c r="J17" s="344"/>
      <c r="K17" s="361" t="s">
        <v>102</v>
      </c>
      <c r="L17" s="362">
        <f t="shared" si="0"/>
        <v>1749</v>
      </c>
    </row>
    <row r="18" spans="2:12" s="20" customFormat="1" ht="12.75" customHeight="1" hidden="1">
      <c r="B18" s="90">
        <v>1994</v>
      </c>
      <c r="C18" s="309" t="s">
        <v>102</v>
      </c>
      <c r="D18" s="342">
        <v>447</v>
      </c>
      <c r="E18" s="342">
        <v>471</v>
      </c>
      <c r="F18" s="341">
        <f>831+346</f>
        <v>1177</v>
      </c>
      <c r="G18" s="341">
        <v>248</v>
      </c>
      <c r="H18" s="344" t="s">
        <v>59</v>
      </c>
      <c r="I18" s="344" t="s">
        <v>59</v>
      </c>
      <c r="J18" s="344"/>
      <c r="K18" s="361" t="s">
        <v>102</v>
      </c>
      <c r="L18" s="362">
        <f t="shared" si="0"/>
        <v>2343</v>
      </c>
    </row>
    <row r="19" spans="2:12" s="20" customFormat="1" ht="12.75" customHeight="1">
      <c r="B19" s="90">
        <v>1995</v>
      </c>
      <c r="C19" s="309" t="s">
        <v>102</v>
      </c>
      <c r="D19" s="342">
        <v>447</v>
      </c>
      <c r="E19" s="342">
        <v>471</v>
      </c>
      <c r="F19" s="341">
        <f>1177+104</f>
        <v>1281</v>
      </c>
      <c r="G19" s="341">
        <v>248</v>
      </c>
      <c r="H19" s="344" t="s">
        <v>59</v>
      </c>
      <c r="I19" s="344" t="s">
        <v>59</v>
      </c>
      <c r="J19" s="344" t="s">
        <v>59</v>
      </c>
      <c r="K19" s="361" t="s">
        <v>102</v>
      </c>
      <c r="L19" s="362">
        <f t="shared" si="0"/>
        <v>2447</v>
      </c>
    </row>
    <row r="20" spans="2:12" s="20" customFormat="1" ht="12.75" customHeight="1" hidden="1">
      <c r="B20" s="90">
        <v>1996</v>
      </c>
      <c r="C20" s="309" t="s">
        <v>102</v>
      </c>
      <c r="D20" s="342">
        <v>447</v>
      </c>
      <c r="E20" s="342">
        <v>471</v>
      </c>
      <c r="F20" s="341">
        <v>1281</v>
      </c>
      <c r="G20" s="341">
        <v>248</v>
      </c>
      <c r="H20" s="344" t="s">
        <v>59</v>
      </c>
      <c r="I20" s="344" t="s">
        <v>59</v>
      </c>
      <c r="J20" s="344"/>
      <c r="K20" s="361" t="s">
        <v>102</v>
      </c>
      <c r="L20" s="362">
        <f t="shared" si="0"/>
        <v>2447</v>
      </c>
    </row>
    <row r="21" spans="2:12" s="20" customFormat="1" ht="12.75" customHeight="1" hidden="1">
      <c r="B21" s="90">
        <v>1997</v>
      </c>
      <c r="C21" s="309" t="s">
        <v>102</v>
      </c>
      <c r="D21" s="342">
        <v>447</v>
      </c>
      <c r="E21" s="342">
        <v>471</v>
      </c>
      <c r="F21" s="341">
        <v>1281</v>
      </c>
      <c r="G21" s="341">
        <v>248</v>
      </c>
      <c r="H21" s="344" t="s">
        <v>59</v>
      </c>
      <c r="I21" s="344" t="s">
        <v>59</v>
      </c>
      <c r="J21" s="344"/>
      <c r="K21" s="361" t="s">
        <v>102</v>
      </c>
      <c r="L21" s="362">
        <f t="shared" si="0"/>
        <v>2447</v>
      </c>
    </row>
    <row r="22" spans="2:12" s="20" customFormat="1" ht="12.75" customHeight="1" hidden="1">
      <c r="B22" s="90">
        <v>1998</v>
      </c>
      <c r="C22" s="309">
        <v>72</v>
      </c>
      <c r="D22" s="342">
        <v>636</v>
      </c>
      <c r="E22" s="342">
        <v>471</v>
      </c>
      <c r="F22" s="341">
        <v>1281</v>
      </c>
      <c r="G22" s="341">
        <v>248</v>
      </c>
      <c r="H22" s="344" t="s">
        <v>59</v>
      </c>
      <c r="I22" s="344" t="s">
        <v>59</v>
      </c>
      <c r="J22" s="344"/>
      <c r="K22" s="361" t="s">
        <v>102</v>
      </c>
      <c r="L22" s="362">
        <f t="shared" si="0"/>
        <v>2708</v>
      </c>
    </row>
    <row r="23" spans="2:12" s="20" customFormat="1" ht="12.75" customHeight="1" hidden="1">
      <c r="B23" s="90">
        <v>1999</v>
      </c>
      <c r="C23" s="309">
        <v>72</v>
      </c>
      <c r="D23" s="342">
        <v>636</v>
      </c>
      <c r="E23" s="342">
        <v>471</v>
      </c>
      <c r="F23" s="341">
        <v>1281</v>
      </c>
      <c r="G23" s="341">
        <v>248</v>
      </c>
      <c r="H23" s="344" t="s">
        <v>59</v>
      </c>
      <c r="I23" s="344" t="s">
        <v>59</v>
      </c>
      <c r="J23" s="344"/>
      <c r="K23" s="361" t="s">
        <v>102</v>
      </c>
      <c r="L23" s="362">
        <f t="shared" si="0"/>
        <v>2708</v>
      </c>
    </row>
    <row r="24" spans="2:12" s="20" customFormat="1" ht="12.75" customHeight="1">
      <c r="B24" s="90">
        <v>2000</v>
      </c>
      <c r="C24" s="309">
        <v>72</v>
      </c>
      <c r="D24" s="342">
        <v>636</v>
      </c>
      <c r="E24" s="342">
        <v>471</v>
      </c>
      <c r="F24" s="341">
        <v>1281</v>
      </c>
      <c r="G24" s="341">
        <v>248</v>
      </c>
      <c r="H24" s="344" t="s">
        <v>59</v>
      </c>
      <c r="I24" s="344" t="s">
        <v>59</v>
      </c>
      <c r="J24" s="344" t="s">
        <v>59</v>
      </c>
      <c r="K24" s="361" t="s">
        <v>102</v>
      </c>
      <c r="L24" s="362">
        <f t="shared" si="0"/>
        <v>2708</v>
      </c>
    </row>
    <row r="25" spans="2:12" s="20" customFormat="1" ht="12.75" customHeight="1" hidden="1">
      <c r="B25" s="90">
        <v>2001</v>
      </c>
      <c r="C25" s="309">
        <v>72</v>
      </c>
      <c r="D25" s="342">
        <v>636</v>
      </c>
      <c r="E25" s="342">
        <v>471</v>
      </c>
      <c r="F25" s="341">
        <f>1281+259</f>
        <v>1540</v>
      </c>
      <c r="G25" s="341">
        <v>248</v>
      </c>
      <c r="H25" s="344" t="s">
        <v>59</v>
      </c>
      <c r="I25" s="344" t="s">
        <v>59</v>
      </c>
      <c r="J25" s="344"/>
      <c r="K25" s="361" t="s">
        <v>102</v>
      </c>
      <c r="L25" s="362">
        <f t="shared" si="0"/>
        <v>2967</v>
      </c>
    </row>
    <row r="26" spans="2:12" s="20" customFormat="1" ht="12.75" customHeight="1" hidden="1">
      <c r="B26" s="90">
        <v>2002</v>
      </c>
      <c r="C26" s="309">
        <f aca="true" t="shared" si="1" ref="C26:C32">72+65</f>
        <v>137</v>
      </c>
      <c r="D26" s="342">
        <v>833</v>
      </c>
      <c r="E26" s="342">
        <v>471</v>
      </c>
      <c r="F26" s="341">
        <v>1540</v>
      </c>
      <c r="G26" s="341">
        <v>248</v>
      </c>
      <c r="H26" s="344" t="s">
        <v>59</v>
      </c>
      <c r="I26" s="344" t="s">
        <v>59</v>
      </c>
      <c r="J26" s="344"/>
      <c r="K26" s="361" t="s">
        <v>102</v>
      </c>
      <c r="L26" s="362">
        <f t="shared" si="0"/>
        <v>3229</v>
      </c>
    </row>
    <row r="27" spans="2:12" s="20" customFormat="1" ht="12.75" customHeight="1">
      <c r="B27" s="90">
        <v>2003</v>
      </c>
      <c r="C27" s="309">
        <f t="shared" si="1"/>
        <v>137</v>
      </c>
      <c r="D27" s="342">
        <v>875</v>
      </c>
      <c r="E27" s="342">
        <v>1069</v>
      </c>
      <c r="F27" s="341">
        <v>1540</v>
      </c>
      <c r="G27" s="341">
        <v>248</v>
      </c>
      <c r="H27" s="344" t="s">
        <v>59</v>
      </c>
      <c r="I27" s="344" t="s">
        <v>59</v>
      </c>
      <c r="J27" s="344" t="s">
        <v>59</v>
      </c>
      <c r="K27" s="361">
        <v>74</v>
      </c>
      <c r="L27" s="362">
        <f t="shared" si="0"/>
        <v>3943</v>
      </c>
    </row>
    <row r="28" spans="2:12" s="20" customFormat="1" ht="12.75" customHeight="1">
      <c r="B28" s="90">
        <v>2004</v>
      </c>
      <c r="C28" s="309">
        <f t="shared" si="1"/>
        <v>137</v>
      </c>
      <c r="D28" s="342">
        <v>1196</v>
      </c>
      <c r="E28" s="342">
        <v>1069</v>
      </c>
      <c r="F28" s="341">
        <v>1540</v>
      </c>
      <c r="G28" s="341">
        <v>248</v>
      </c>
      <c r="H28" s="344" t="s">
        <v>59</v>
      </c>
      <c r="I28" s="344" t="s">
        <v>59</v>
      </c>
      <c r="J28" s="344" t="s">
        <v>59</v>
      </c>
      <c r="K28" s="361">
        <v>74</v>
      </c>
      <c r="L28" s="362">
        <f t="shared" si="0"/>
        <v>4264</v>
      </c>
    </row>
    <row r="29" spans="2:12" s="20" customFormat="1" ht="12.75" customHeight="1">
      <c r="B29" s="90">
        <v>2005</v>
      </c>
      <c r="C29" s="309">
        <f t="shared" si="1"/>
        <v>137</v>
      </c>
      <c r="D29" s="342">
        <v>1196</v>
      </c>
      <c r="E29" s="342">
        <v>1090</v>
      </c>
      <c r="F29" s="341">
        <v>1540</v>
      </c>
      <c r="G29" s="341">
        <v>248</v>
      </c>
      <c r="H29" s="344" t="s">
        <v>59</v>
      </c>
      <c r="I29" s="344" t="s">
        <v>59</v>
      </c>
      <c r="J29" s="344" t="s">
        <v>59</v>
      </c>
      <c r="K29" s="361">
        <v>74</v>
      </c>
      <c r="L29" s="362">
        <f t="shared" si="0"/>
        <v>4285</v>
      </c>
    </row>
    <row r="30" spans="2:12" s="20" customFormat="1" ht="12.75" customHeight="1">
      <c r="B30" s="90">
        <v>2006</v>
      </c>
      <c r="C30" s="309">
        <f t="shared" si="1"/>
        <v>137</v>
      </c>
      <c r="D30" s="342">
        <v>1285</v>
      </c>
      <c r="E30" s="342">
        <v>1272</v>
      </c>
      <c r="F30" s="341">
        <v>1540</v>
      </c>
      <c r="G30" s="341">
        <f>G31+94+220</f>
        <v>876</v>
      </c>
      <c r="H30" s="344" t="s">
        <v>59</v>
      </c>
      <c r="I30" s="344" t="s">
        <v>59</v>
      </c>
      <c r="J30" s="344" t="s">
        <v>59</v>
      </c>
      <c r="K30" s="361">
        <v>74</v>
      </c>
      <c r="L30" s="362">
        <f t="shared" si="0"/>
        <v>5184</v>
      </c>
    </row>
    <row r="31" spans="2:12" s="20" customFormat="1" ht="12.75" customHeight="1">
      <c r="B31" s="90">
        <v>2007</v>
      </c>
      <c r="C31" s="309">
        <f t="shared" si="1"/>
        <v>137</v>
      </c>
      <c r="D31" s="342">
        <v>1285</v>
      </c>
      <c r="E31" s="342">
        <v>1511</v>
      </c>
      <c r="F31" s="341">
        <f>1540+332</f>
        <v>1872</v>
      </c>
      <c r="G31" s="341">
        <v>562</v>
      </c>
      <c r="H31" s="344" t="s">
        <v>59</v>
      </c>
      <c r="I31" s="344" t="s">
        <v>59</v>
      </c>
      <c r="J31" s="344" t="s">
        <v>59</v>
      </c>
      <c r="K31" s="361">
        <v>113</v>
      </c>
      <c r="L31" s="362">
        <f t="shared" si="0"/>
        <v>5480</v>
      </c>
    </row>
    <row r="32" spans="2:12" s="20" customFormat="1" ht="12.75" customHeight="1">
      <c r="B32" s="90">
        <v>2008</v>
      </c>
      <c r="C32" s="309">
        <f t="shared" si="1"/>
        <v>137</v>
      </c>
      <c r="D32" s="342">
        <v>1285</v>
      </c>
      <c r="E32" s="342">
        <f>1511+88</f>
        <v>1599</v>
      </c>
      <c r="F32" s="341">
        <v>1872</v>
      </c>
      <c r="G32" s="341">
        <f>562+182</f>
        <v>744</v>
      </c>
      <c r="H32" s="344" t="s">
        <v>59</v>
      </c>
      <c r="I32" s="344" t="s">
        <v>59</v>
      </c>
      <c r="J32" s="344" t="s">
        <v>59</v>
      </c>
      <c r="K32" s="361">
        <v>113</v>
      </c>
      <c r="L32" s="362">
        <f t="shared" si="0"/>
        <v>5750</v>
      </c>
    </row>
    <row r="33" spans="2:12" s="20" customFormat="1" ht="12.75" customHeight="1">
      <c r="B33" s="90">
        <v>2009</v>
      </c>
      <c r="C33" s="309">
        <f>137+72</f>
        <v>209</v>
      </c>
      <c r="D33" s="342">
        <v>1285</v>
      </c>
      <c r="E33" s="342">
        <f>1599+5</f>
        <v>1604</v>
      </c>
      <c r="F33" s="341">
        <v>1872</v>
      </c>
      <c r="G33" s="341">
        <f>744+55+77+47</f>
        <v>923</v>
      </c>
      <c r="H33" s="344">
        <v>120</v>
      </c>
      <c r="I33" s="344" t="s">
        <v>59</v>
      </c>
      <c r="J33" s="344" t="s">
        <v>59</v>
      </c>
      <c r="K33" s="361">
        <v>113</v>
      </c>
      <c r="L33" s="362">
        <f t="shared" si="0"/>
        <v>6126</v>
      </c>
    </row>
    <row r="34" spans="2:12" s="20" customFormat="1" ht="12.75" customHeight="1">
      <c r="B34" s="90">
        <v>2010</v>
      </c>
      <c r="C34" s="309">
        <f>137+72</f>
        <v>209</v>
      </c>
      <c r="D34" s="342">
        <v>1285</v>
      </c>
      <c r="E34" s="342">
        <f>1604+20+432</f>
        <v>2056</v>
      </c>
      <c r="F34" s="341">
        <f>1872+24</f>
        <v>1896</v>
      </c>
      <c r="G34" s="341">
        <f>923</f>
        <v>923</v>
      </c>
      <c r="H34" s="344">
        <v>120</v>
      </c>
      <c r="I34" s="344" t="s">
        <v>59</v>
      </c>
      <c r="J34" s="344" t="s">
        <v>59</v>
      </c>
      <c r="K34" s="361">
        <v>113</v>
      </c>
      <c r="L34" s="362">
        <f t="shared" si="0"/>
        <v>6602</v>
      </c>
    </row>
    <row r="35" spans="2:12" s="20" customFormat="1" ht="12.75" customHeight="1">
      <c r="B35" s="90">
        <v>2011</v>
      </c>
      <c r="C35" s="309">
        <v>209</v>
      </c>
      <c r="D35" s="342">
        <v>1285</v>
      </c>
      <c r="E35" s="342">
        <f>2056+88</f>
        <v>2144</v>
      </c>
      <c r="F35" s="341">
        <f>1896+140</f>
        <v>2036</v>
      </c>
      <c r="G35" s="341">
        <v>923</v>
      </c>
      <c r="H35" s="344">
        <v>120</v>
      </c>
      <c r="I35" s="344" t="s">
        <v>59</v>
      </c>
      <c r="J35" s="344" t="s">
        <v>59</v>
      </c>
      <c r="K35" s="342">
        <v>113</v>
      </c>
      <c r="L35" s="362">
        <f aca="true" t="shared" si="2" ref="L35:L40">SUM(C35:K35)</f>
        <v>6830</v>
      </c>
    </row>
    <row r="36" spans="2:12" s="20" customFormat="1" ht="12.75" customHeight="1">
      <c r="B36" s="90">
        <v>2012</v>
      </c>
      <c r="C36" s="309">
        <v>209</v>
      </c>
      <c r="D36" s="342">
        <v>1334</v>
      </c>
      <c r="E36" s="342">
        <f>2056+88</f>
        <v>2144</v>
      </c>
      <c r="F36" s="341">
        <f>1896+140</f>
        <v>2036</v>
      </c>
      <c r="G36" s="341">
        <v>923</v>
      </c>
      <c r="H36" s="344">
        <v>120</v>
      </c>
      <c r="I36" s="344" t="s">
        <v>59</v>
      </c>
      <c r="J36" s="344" t="s">
        <v>59</v>
      </c>
      <c r="K36" s="342">
        <v>113</v>
      </c>
      <c r="L36" s="362">
        <f t="shared" si="2"/>
        <v>6879</v>
      </c>
    </row>
    <row r="37" spans="2:12" s="2" customFormat="1" ht="15" customHeight="1">
      <c r="B37" s="90">
        <v>2013</v>
      </c>
      <c r="C37" s="309">
        <v>209</v>
      </c>
      <c r="D37" s="342">
        <v>1334</v>
      </c>
      <c r="E37" s="342">
        <v>2515</v>
      </c>
      <c r="F37" s="341">
        <v>2036</v>
      </c>
      <c r="G37" s="341">
        <v>923</v>
      </c>
      <c r="H37" s="344">
        <v>120</v>
      </c>
      <c r="I37" s="344">
        <v>48</v>
      </c>
      <c r="J37" s="344" t="s">
        <v>59</v>
      </c>
      <c r="K37" s="342">
        <v>113</v>
      </c>
      <c r="L37" s="362">
        <f t="shared" si="2"/>
        <v>7298</v>
      </c>
    </row>
    <row r="38" spans="2:12" s="2" customFormat="1" ht="15" customHeight="1">
      <c r="B38" s="90">
        <v>2014</v>
      </c>
      <c r="C38" s="342">
        <v>209</v>
      </c>
      <c r="D38" s="342">
        <v>1352</v>
      </c>
      <c r="E38" s="342">
        <v>2515</v>
      </c>
      <c r="F38" s="341">
        <v>2036</v>
      </c>
      <c r="G38" s="341">
        <v>923</v>
      </c>
      <c r="H38" s="344">
        <v>120</v>
      </c>
      <c r="I38" s="344">
        <v>48</v>
      </c>
      <c r="J38" s="344" t="s">
        <v>59</v>
      </c>
      <c r="K38" s="342">
        <v>113</v>
      </c>
      <c r="L38" s="362">
        <f t="shared" si="2"/>
        <v>7316</v>
      </c>
    </row>
    <row r="39" spans="2:12" s="2" customFormat="1" ht="15" customHeight="1">
      <c r="B39" s="428">
        <v>2015</v>
      </c>
      <c r="C39" s="309">
        <v>209</v>
      </c>
      <c r="D39" s="342">
        <v>1475</v>
      </c>
      <c r="E39" s="342">
        <v>2871</v>
      </c>
      <c r="F39" s="341">
        <v>2036</v>
      </c>
      <c r="G39" s="341">
        <v>923</v>
      </c>
      <c r="H39" s="344">
        <v>120</v>
      </c>
      <c r="I39" s="344">
        <v>48</v>
      </c>
      <c r="J39" s="344">
        <v>224</v>
      </c>
      <c r="K39" s="429">
        <v>113</v>
      </c>
      <c r="L39" s="362">
        <f t="shared" si="2"/>
        <v>8019</v>
      </c>
    </row>
    <row r="40" spans="2:12" s="2" customFormat="1" ht="15" customHeight="1">
      <c r="B40" s="430">
        <v>2016</v>
      </c>
      <c r="C40" s="410">
        <v>209</v>
      </c>
      <c r="D40" s="363">
        <v>1475</v>
      </c>
      <c r="E40" s="363">
        <v>2938</v>
      </c>
      <c r="F40" s="364">
        <v>2142</v>
      </c>
      <c r="G40" s="364">
        <v>981</v>
      </c>
      <c r="H40" s="365">
        <v>120</v>
      </c>
      <c r="I40" s="365">
        <v>48</v>
      </c>
      <c r="J40" s="365">
        <v>224</v>
      </c>
      <c r="K40" s="363">
        <v>113</v>
      </c>
      <c r="L40" s="366">
        <f t="shared" si="2"/>
        <v>8250</v>
      </c>
    </row>
    <row r="41" spans="2:12" s="2" customFormat="1" ht="24.75" customHeight="1">
      <c r="B41" s="469" t="s">
        <v>156</v>
      </c>
      <c r="C41" s="469"/>
      <c r="D41" s="469"/>
      <c r="E41" s="469"/>
      <c r="F41" s="469"/>
      <c r="G41" s="469"/>
      <c r="H41" s="469"/>
      <c r="I41" s="469"/>
      <c r="J41" s="469"/>
      <c r="K41" s="469"/>
      <c r="L41" s="469"/>
    </row>
    <row r="42" spans="2:12" s="2" customFormat="1" ht="17.25" customHeight="1">
      <c r="B42" s="469" t="s">
        <v>123</v>
      </c>
      <c r="C42" s="469"/>
      <c r="D42" s="469"/>
      <c r="E42" s="469"/>
      <c r="F42" s="469"/>
      <c r="G42" s="469"/>
      <c r="H42" s="469"/>
      <c r="I42" s="469"/>
      <c r="J42" s="469"/>
      <c r="K42" s="469"/>
      <c r="L42" s="469"/>
    </row>
    <row r="43" spans="1:12" ht="25.5" customHeight="1">
      <c r="A43" s="1"/>
      <c r="B43" s="190"/>
      <c r="C43" s="190"/>
      <c r="D43" s="190"/>
      <c r="E43" s="190"/>
      <c r="F43" s="190"/>
      <c r="G43" s="190"/>
      <c r="H43" s="190"/>
      <c r="I43" s="288"/>
      <c r="J43" s="409"/>
      <c r="K43" s="190"/>
      <c r="L43" s="190"/>
    </row>
    <row r="44" spans="2:12" ht="16.5" customHeight="1">
      <c r="B44" s="470" t="s">
        <v>3</v>
      </c>
      <c r="C44" s="470"/>
      <c r="D44" s="470"/>
      <c r="E44" s="470"/>
      <c r="F44" s="470"/>
      <c r="G44" s="470"/>
      <c r="H44" s="470"/>
      <c r="I44" s="470"/>
      <c r="J44" s="470"/>
      <c r="K44" s="470"/>
      <c r="L44" s="470"/>
    </row>
    <row r="45" spans="2:12" ht="9.75" customHeight="1">
      <c r="B45" s="63"/>
      <c r="C45" s="464" t="s">
        <v>6</v>
      </c>
      <c r="D45" s="64"/>
      <c r="E45" s="64"/>
      <c r="F45" s="64"/>
      <c r="G45" s="411"/>
      <c r="H45" s="411"/>
      <c r="I45" s="411"/>
      <c r="J45" s="69"/>
      <c r="K45" s="65" t="s">
        <v>7</v>
      </c>
      <c r="L45" s="466" t="s">
        <v>97</v>
      </c>
    </row>
    <row r="46" spans="2:12" ht="12.75" customHeight="1">
      <c r="B46" s="66"/>
      <c r="C46" s="465"/>
      <c r="D46" s="67"/>
      <c r="E46" s="67"/>
      <c r="F46" s="67"/>
      <c r="G46" s="412"/>
      <c r="H46" s="412"/>
      <c r="I46" s="412"/>
      <c r="J46" s="70"/>
      <c r="K46" s="68" t="s">
        <v>8</v>
      </c>
      <c r="L46" s="467"/>
    </row>
    <row r="47" spans="2:12" ht="12.75" customHeight="1">
      <c r="B47" s="192" t="s">
        <v>41</v>
      </c>
      <c r="C47" s="193" t="s">
        <v>152</v>
      </c>
      <c r="D47" s="193"/>
      <c r="E47" s="194"/>
      <c r="F47" s="194"/>
      <c r="G47" s="193"/>
      <c r="H47" s="193"/>
      <c r="I47" s="193"/>
      <c r="J47" s="195"/>
      <c r="K47" s="196">
        <v>56</v>
      </c>
      <c r="L47" s="197">
        <v>2018</v>
      </c>
    </row>
    <row r="48" spans="2:12" ht="13.5" customHeight="1">
      <c r="B48" s="153" t="s">
        <v>46</v>
      </c>
      <c r="C48" s="19" t="s">
        <v>143</v>
      </c>
      <c r="D48" s="19"/>
      <c r="E48" s="27"/>
      <c r="F48" s="27"/>
      <c r="G48" s="19"/>
      <c r="H48" s="19"/>
      <c r="I48" s="19"/>
      <c r="J48" s="163"/>
      <c r="K48" s="164">
        <v>39</v>
      </c>
      <c r="L48" s="359">
        <v>2029</v>
      </c>
    </row>
    <row r="49" spans="2:12" ht="12.75" customHeight="1">
      <c r="B49" s="198" t="s">
        <v>46</v>
      </c>
      <c r="C49" s="199" t="s">
        <v>138</v>
      </c>
      <c r="D49" s="199"/>
      <c r="E49" s="200"/>
      <c r="F49" s="200"/>
      <c r="G49" s="199"/>
      <c r="H49" s="199"/>
      <c r="I49" s="199"/>
      <c r="J49" s="201"/>
      <c r="K49" s="202">
        <v>83</v>
      </c>
      <c r="L49" s="203">
        <v>2017</v>
      </c>
    </row>
    <row r="50" spans="2:12" ht="12.75" customHeight="1">
      <c r="B50" s="153" t="s">
        <v>46</v>
      </c>
      <c r="C50" s="19" t="s">
        <v>139</v>
      </c>
      <c r="D50" s="19"/>
      <c r="E50" s="27"/>
      <c r="F50" s="27"/>
      <c r="G50" s="19"/>
      <c r="H50" s="19"/>
      <c r="I50" s="19"/>
      <c r="J50" s="163"/>
      <c r="K50" s="164">
        <v>100</v>
      </c>
      <c r="L50" s="359">
        <v>2017</v>
      </c>
    </row>
    <row r="51" spans="2:12" ht="12.75" customHeight="1">
      <c r="B51" s="198" t="s">
        <v>46</v>
      </c>
      <c r="C51" s="199" t="s">
        <v>144</v>
      </c>
      <c r="D51" s="199"/>
      <c r="E51" s="200"/>
      <c r="F51" s="200"/>
      <c r="G51" s="199"/>
      <c r="H51" s="199"/>
      <c r="I51" s="199"/>
      <c r="J51" s="201"/>
      <c r="K51" s="202">
        <v>57</v>
      </c>
      <c r="L51" s="358">
        <v>2021</v>
      </c>
    </row>
    <row r="52" spans="2:12" ht="12.75" customHeight="1">
      <c r="B52" s="153" t="s">
        <v>46</v>
      </c>
      <c r="C52" s="19" t="s">
        <v>145</v>
      </c>
      <c r="D52" s="19"/>
      <c r="E52" s="27"/>
      <c r="F52" s="27"/>
      <c r="G52" s="19"/>
      <c r="H52" s="19"/>
      <c r="I52" s="19"/>
      <c r="J52" s="163"/>
      <c r="K52" s="164">
        <v>12</v>
      </c>
      <c r="L52" s="359">
        <v>2021</v>
      </c>
    </row>
    <row r="53" spans="2:12" ht="12.75" customHeight="1">
      <c r="B53" s="198" t="s">
        <v>46</v>
      </c>
      <c r="C53" s="199" t="s">
        <v>146</v>
      </c>
      <c r="D53" s="199"/>
      <c r="E53" s="200"/>
      <c r="F53" s="200"/>
      <c r="G53" s="199"/>
      <c r="H53" s="199"/>
      <c r="I53" s="199"/>
      <c r="J53" s="201"/>
      <c r="K53" s="202">
        <v>60</v>
      </c>
      <c r="L53" s="358">
        <v>2021</v>
      </c>
    </row>
    <row r="54" spans="2:12" ht="12.75" customHeight="1">
      <c r="B54" s="153" t="s">
        <v>46</v>
      </c>
      <c r="C54" s="19" t="s">
        <v>147</v>
      </c>
      <c r="D54" s="19"/>
      <c r="E54" s="27"/>
      <c r="F54" s="27"/>
      <c r="G54" s="19"/>
      <c r="H54" s="19"/>
      <c r="I54" s="19"/>
      <c r="J54" s="163"/>
      <c r="K54" s="164">
        <v>17</v>
      </c>
      <c r="L54" s="359">
        <v>2022</v>
      </c>
    </row>
    <row r="55" spans="2:12" ht="12.75" customHeight="1">
      <c r="B55" s="198" t="s">
        <v>47</v>
      </c>
      <c r="C55" s="199" t="s">
        <v>159</v>
      </c>
      <c r="D55" s="199"/>
      <c r="E55" s="200"/>
      <c r="F55" s="200"/>
      <c r="G55" s="199"/>
      <c r="H55" s="199"/>
      <c r="I55" s="199"/>
      <c r="J55" s="201"/>
      <c r="K55" s="202">
        <v>62</v>
      </c>
      <c r="L55" s="203">
        <v>2018</v>
      </c>
    </row>
    <row r="56" spans="2:12" ht="12.75" customHeight="1">
      <c r="B56" s="153" t="s">
        <v>47</v>
      </c>
      <c r="C56" s="19" t="s">
        <v>103</v>
      </c>
      <c r="D56" s="19"/>
      <c r="E56" s="27"/>
      <c r="F56" s="27"/>
      <c r="G56" s="19"/>
      <c r="H56" s="19"/>
      <c r="I56" s="19"/>
      <c r="J56" s="163"/>
      <c r="K56" s="164">
        <v>175</v>
      </c>
      <c r="L56" s="165">
        <v>2022</v>
      </c>
    </row>
    <row r="57" spans="2:12" ht="12.75" customHeight="1">
      <c r="B57" s="198" t="s">
        <v>47</v>
      </c>
      <c r="C57" s="199" t="s">
        <v>158</v>
      </c>
      <c r="D57" s="199"/>
      <c r="E57" s="200"/>
      <c r="F57" s="200"/>
      <c r="G57" s="199"/>
      <c r="H57" s="199"/>
      <c r="I57" s="199"/>
      <c r="J57" s="201"/>
      <c r="K57" s="202">
        <v>50</v>
      </c>
      <c r="L57" s="203">
        <v>2019</v>
      </c>
    </row>
    <row r="58" spans="2:12" ht="12.75" customHeight="1">
      <c r="B58" s="153" t="s">
        <v>47</v>
      </c>
      <c r="C58" s="19" t="s">
        <v>104</v>
      </c>
      <c r="D58" s="19"/>
      <c r="E58" s="27"/>
      <c r="F58" s="27"/>
      <c r="G58" s="19"/>
      <c r="H58" s="19"/>
      <c r="I58" s="19"/>
      <c r="J58" s="163"/>
      <c r="K58" s="164">
        <v>109</v>
      </c>
      <c r="L58" s="165">
        <v>2018</v>
      </c>
    </row>
    <row r="59" spans="2:12" ht="12.75" customHeight="1">
      <c r="B59" s="198" t="s">
        <v>47</v>
      </c>
      <c r="C59" s="199" t="s">
        <v>160</v>
      </c>
      <c r="D59" s="199"/>
      <c r="E59" s="200"/>
      <c r="F59" s="200"/>
      <c r="G59" s="204"/>
      <c r="H59" s="204"/>
      <c r="I59" s="204"/>
      <c r="J59" s="414"/>
      <c r="K59" s="202">
        <v>193</v>
      </c>
      <c r="L59" s="203">
        <v>2019</v>
      </c>
    </row>
    <row r="60" spans="2:12" ht="12.75" customHeight="1">
      <c r="B60" s="153" t="s">
        <v>47</v>
      </c>
      <c r="C60" s="19" t="s">
        <v>161</v>
      </c>
      <c r="D60" s="3"/>
      <c r="E60" s="3"/>
      <c r="F60" s="3"/>
      <c r="G60" s="3"/>
      <c r="H60" s="3"/>
      <c r="I60" s="3"/>
      <c r="J60" s="413"/>
      <c r="K60" s="164">
        <v>91</v>
      </c>
      <c r="L60" s="165">
        <v>2018</v>
      </c>
    </row>
    <row r="61" spans="2:12" ht="15" customHeight="1">
      <c r="B61" s="198" t="s">
        <v>47</v>
      </c>
      <c r="C61" s="199" t="s">
        <v>162</v>
      </c>
      <c r="D61" s="204"/>
      <c r="E61" s="204"/>
      <c r="F61" s="204"/>
      <c r="G61" s="204"/>
      <c r="H61" s="204"/>
      <c r="I61" s="204"/>
      <c r="J61" s="414"/>
      <c r="K61" s="202">
        <v>224</v>
      </c>
      <c r="L61" s="203">
        <v>2019</v>
      </c>
    </row>
    <row r="62" spans="2:12" ht="15" customHeight="1">
      <c r="B62" s="153" t="s">
        <v>48</v>
      </c>
      <c r="C62" s="19" t="s">
        <v>127</v>
      </c>
      <c r="D62" s="3"/>
      <c r="E62" s="3"/>
      <c r="F62" s="3"/>
      <c r="G62" s="19"/>
      <c r="H62" s="19"/>
      <c r="I62" s="19"/>
      <c r="J62" s="163"/>
      <c r="K62" s="164">
        <v>214</v>
      </c>
      <c r="L62" s="165">
        <v>2017</v>
      </c>
    </row>
    <row r="63" spans="2:12" ht="15" customHeight="1">
      <c r="B63" s="198" t="s">
        <v>48</v>
      </c>
      <c r="C63" s="199" t="s">
        <v>128</v>
      </c>
      <c r="D63" s="204"/>
      <c r="E63" s="204"/>
      <c r="F63" s="204"/>
      <c r="G63" s="199"/>
      <c r="H63" s="199"/>
      <c r="I63" s="199"/>
      <c r="J63" s="201"/>
      <c r="K63" s="202">
        <v>340</v>
      </c>
      <c r="L63" s="203">
        <v>2017</v>
      </c>
    </row>
    <row r="64" spans="2:12" ht="15" customHeight="1">
      <c r="B64" s="153" t="s">
        <v>48</v>
      </c>
      <c r="C64" s="19" t="s">
        <v>125</v>
      </c>
      <c r="D64" s="19"/>
      <c r="E64" s="27"/>
      <c r="F64" s="27"/>
      <c r="G64" s="19"/>
      <c r="H64" s="19"/>
      <c r="I64" s="19"/>
      <c r="J64" s="163"/>
      <c r="K64" s="164">
        <v>80</v>
      </c>
      <c r="L64" s="165">
        <v>2018</v>
      </c>
    </row>
    <row r="65" spans="2:12" ht="15" customHeight="1">
      <c r="B65" s="198" t="s">
        <v>50</v>
      </c>
      <c r="C65" s="199" t="s">
        <v>148</v>
      </c>
      <c r="D65" s="199"/>
      <c r="E65" s="200"/>
      <c r="F65" s="200"/>
      <c r="G65" s="199"/>
      <c r="H65" s="199"/>
      <c r="I65" s="199"/>
      <c r="J65" s="201"/>
      <c r="K65" s="202">
        <v>67</v>
      </c>
      <c r="L65" s="358">
        <v>2020</v>
      </c>
    </row>
    <row r="66" spans="2:12" ht="15" customHeight="1">
      <c r="B66" s="153" t="s">
        <v>52</v>
      </c>
      <c r="C66" s="19" t="s">
        <v>151</v>
      </c>
      <c r="D66" s="19"/>
      <c r="E66" s="27"/>
      <c r="F66" s="27"/>
      <c r="G66" s="19"/>
      <c r="H66" s="19"/>
      <c r="I66" s="19"/>
      <c r="J66" s="163"/>
      <c r="K66" s="164">
        <v>17</v>
      </c>
      <c r="L66" s="359"/>
    </row>
    <row r="67" spans="2:12" ht="15" customHeight="1">
      <c r="B67" s="198" t="s">
        <v>52</v>
      </c>
      <c r="C67" s="199" t="s">
        <v>140</v>
      </c>
      <c r="D67" s="204"/>
      <c r="E67" s="204"/>
      <c r="F67" s="204"/>
      <c r="G67" s="199"/>
      <c r="H67" s="199"/>
      <c r="I67" s="199"/>
      <c r="J67" s="201"/>
      <c r="K67" s="202">
        <v>27</v>
      </c>
      <c r="L67" s="358">
        <v>2024</v>
      </c>
    </row>
    <row r="68" spans="2:12" ht="15" customHeight="1">
      <c r="B68" s="153" t="s">
        <v>52</v>
      </c>
      <c r="C68" s="19" t="s">
        <v>141</v>
      </c>
      <c r="D68" s="3"/>
      <c r="E68" s="3"/>
      <c r="F68" s="3"/>
      <c r="G68" s="19"/>
      <c r="H68" s="19"/>
      <c r="I68" s="19"/>
      <c r="J68" s="163"/>
      <c r="K68" s="164">
        <v>110</v>
      </c>
      <c r="L68" s="359">
        <v>2024</v>
      </c>
    </row>
    <row r="69" spans="2:12" ht="15" customHeight="1">
      <c r="B69" s="198" t="s">
        <v>52</v>
      </c>
      <c r="C69" s="199" t="s">
        <v>142</v>
      </c>
      <c r="D69" s="204"/>
      <c r="E69" s="204"/>
      <c r="F69" s="204"/>
      <c r="G69" s="199"/>
      <c r="H69" s="431"/>
      <c r="I69" s="431"/>
      <c r="J69" s="432"/>
      <c r="K69" s="202">
        <v>64</v>
      </c>
      <c r="L69" s="358"/>
    </row>
    <row r="70" spans="2:12" ht="15" customHeight="1">
      <c r="B70" s="441" t="s">
        <v>157</v>
      </c>
      <c r="C70" s="441"/>
      <c r="D70" s="441"/>
      <c r="E70" s="441"/>
      <c r="F70" s="441"/>
      <c r="G70" s="441"/>
      <c r="H70" s="441"/>
      <c r="I70" s="441"/>
      <c r="J70" s="441"/>
      <c r="K70" s="441"/>
      <c r="L70" s="441"/>
    </row>
    <row r="71" spans="2:12" ht="24.75" customHeight="1">
      <c r="B71" s="453" t="s">
        <v>124</v>
      </c>
      <c r="C71" s="453"/>
      <c r="D71" s="453"/>
      <c r="E71" s="453"/>
      <c r="F71" s="453"/>
      <c r="G71" s="453"/>
      <c r="H71" s="453"/>
      <c r="I71" s="453"/>
      <c r="J71" s="453"/>
      <c r="K71" s="453"/>
      <c r="L71" s="453"/>
    </row>
    <row r="72" spans="2:12" ht="11.25" customHeight="1"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</row>
    <row r="73" spans="2:12" ht="11.2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2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</sheetData>
  <sheetProtection/>
  <mergeCells count="12">
    <mergeCell ref="B72:L72"/>
    <mergeCell ref="B41:L41"/>
    <mergeCell ref="B42:L42"/>
    <mergeCell ref="B71:L71"/>
    <mergeCell ref="B44:L44"/>
    <mergeCell ref="B70:L70"/>
    <mergeCell ref="B1:C1"/>
    <mergeCell ref="B2:L2"/>
    <mergeCell ref="B3:L3"/>
    <mergeCell ref="B4:L4"/>
    <mergeCell ref="C45:C46"/>
    <mergeCell ref="L45:L4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G48"/>
  <sheetViews>
    <sheetView zoomScalePageLayoutView="0" workbookViewId="0" topLeftCell="A13">
      <selection activeCell="Q23" sqref="Q23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0.85546875" style="0" customWidth="1"/>
    <col min="4" max="4" width="9.28125" style="0" customWidth="1"/>
    <col min="5" max="5" width="12.7109375" style="0" customWidth="1"/>
    <col min="6" max="7" width="8.7109375" style="0" customWidth="1"/>
  </cols>
  <sheetData>
    <row r="1" spans="2:7" ht="14.25" customHeight="1">
      <c r="B1" s="33"/>
      <c r="G1" s="16" t="s">
        <v>116</v>
      </c>
    </row>
    <row r="2" spans="2:7" ht="14.25" customHeight="1">
      <c r="B2" s="474" t="s">
        <v>9</v>
      </c>
      <c r="C2" s="474"/>
      <c r="D2" s="474"/>
      <c r="E2" s="474"/>
      <c r="F2" s="474"/>
      <c r="G2" s="474"/>
    </row>
    <row r="3" spans="2:7" ht="19.5" customHeight="1">
      <c r="B3" s="475" t="s">
        <v>10</v>
      </c>
      <c r="C3" s="475"/>
      <c r="D3" s="475"/>
      <c r="E3" s="475"/>
      <c r="F3" s="475"/>
      <c r="G3" s="475"/>
    </row>
    <row r="4" spans="2:7" ht="9.75" customHeight="1">
      <c r="B4" s="143"/>
      <c r="C4" s="143"/>
      <c r="D4" s="143"/>
      <c r="E4" s="143"/>
      <c r="F4" s="143"/>
      <c r="G4" s="143"/>
    </row>
    <row r="5" spans="2:7" ht="28.5" customHeight="1">
      <c r="B5" s="21"/>
      <c r="C5" s="80"/>
      <c r="D5" s="81" t="s">
        <v>11</v>
      </c>
      <c r="E5" s="479" t="s">
        <v>12</v>
      </c>
      <c r="F5" s="480"/>
      <c r="G5" s="481"/>
    </row>
    <row r="6" spans="2:7" ht="15.75" customHeight="1">
      <c r="B6" s="21"/>
      <c r="C6" s="82"/>
      <c r="D6" s="83" t="s">
        <v>13</v>
      </c>
      <c r="E6" s="132" t="s">
        <v>14</v>
      </c>
      <c r="F6" s="477" t="s">
        <v>15</v>
      </c>
      <c r="G6" s="478"/>
    </row>
    <row r="7" spans="1:7" ht="12" customHeight="1">
      <c r="A7" s="29"/>
      <c r="B7" s="150" t="s">
        <v>45</v>
      </c>
      <c r="C7" s="71"/>
      <c r="D7" s="72">
        <v>1435</v>
      </c>
      <c r="E7" s="114">
        <v>3000</v>
      </c>
      <c r="F7" s="115">
        <v>25000</v>
      </c>
      <c r="G7" s="104" t="s">
        <v>70</v>
      </c>
    </row>
    <row r="8" spans="1:7" ht="12" customHeight="1">
      <c r="A8" s="29"/>
      <c r="B8" s="91" t="s">
        <v>28</v>
      </c>
      <c r="C8" s="98"/>
      <c r="D8" s="99">
        <v>1435</v>
      </c>
      <c r="E8" s="116"/>
      <c r="F8" s="117">
        <v>25000</v>
      </c>
      <c r="G8" s="105" t="s">
        <v>70</v>
      </c>
    </row>
    <row r="9" spans="1:7" ht="12" customHeight="1">
      <c r="A9" s="29"/>
      <c r="B9" s="151" t="s">
        <v>30</v>
      </c>
      <c r="C9" s="73"/>
      <c r="D9" s="74">
        <v>1435</v>
      </c>
      <c r="E9" s="118">
        <v>3000</v>
      </c>
      <c r="F9" s="119">
        <v>25000</v>
      </c>
      <c r="G9" s="106" t="s">
        <v>4</v>
      </c>
    </row>
    <row r="10" spans="1:7" ht="12" customHeight="1">
      <c r="A10" s="29"/>
      <c r="B10" s="92" t="s">
        <v>41</v>
      </c>
      <c r="C10" s="100"/>
      <c r="D10" s="101">
        <v>1435</v>
      </c>
      <c r="E10" s="120">
        <v>3000</v>
      </c>
      <c r="F10" s="121">
        <v>25000</v>
      </c>
      <c r="G10" s="107" t="s">
        <v>70</v>
      </c>
    </row>
    <row r="11" spans="1:7" ht="12" customHeight="1">
      <c r="A11" s="29"/>
      <c r="B11" s="11" t="s">
        <v>46</v>
      </c>
      <c r="C11" s="30"/>
      <c r="D11" s="26">
        <v>1435</v>
      </c>
      <c r="E11" s="122" t="s">
        <v>16</v>
      </c>
      <c r="F11" s="123">
        <v>15000</v>
      </c>
      <c r="G11" s="108" t="s">
        <v>69</v>
      </c>
    </row>
    <row r="12" spans="1:7" ht="10.5" customHeight="1">
      <c r="A12" s="29"/>
      <c r="B12" s="151"/>
      <c r="C12" s="73"/>
      <c r="D12" s="74"/>
      <c r="E12" s="118" t="s">
        <v>17</v>
      </c>
      <c r="F12" s="119"/>
      <c r="G12" s="106"/>
    </row>
    <row r="13" spans="1:7" ht="12" customHeight="1">
      <c r="A13" s="29"/>
      <c r="B13" s="92" t="s">
        <v>31</v>
      </c>
      <c r="C13" s="100"/>
      <c r="D13" s="101">
        <v>1520</v>
      </c>
      <c r="E13" s="120">
        <v>3000</v>
      </c>
      <c r="F13" s="121"/>
      <c r="G13" s="107"/>
    </row>
    <row r="14" spans="1:7" ht="12" customHeight="1">
      <c r="A14" s="29"/>
      <c r="B14" s="152" t="s">
        <v>49</v>
      </c>
      <c r="C14" s="75"/>
      <c r="D14" s="76">
        <v>1600</v>
      </c>
      <c r="E14" s="124">
        <v>1500</v>
      </c>
      <c r="F14" s="125"/>
      <c r="G14" s="109"/>
    </row>
    <row r="15" spans="1:7" ht="12" customHeight="1">
      <c r="A15" s="29"/>
      <c r="B15" s="93" t="s">
        <v>42</v>
      </c>
      <c r="C15" s="102"/>
      <c r="D15" s="103">
        <v>600</v>
      </c>
      <c r="E15" s="126"/>
      <c r="F15" s="127"/>
      <c r="G15" s="110"/>
    </row>
    <row r="16" spans="1:7" ht="12" customHeight="1">
      <c r="A16" s="29"/>
      <c r="B16" s="93"/>
      <c r="C16" s="102"/>
      <c r="D16" s="103">
        <v>1000</v>
      </c>
      <c r="E16" s="126"/>
      <c r="F16" s="127"/>
      <c r="G16" s="110"/>
    </row>
    <row r="17" spans="1:7" ht="12" customHeight="1">
      <c r="A17" s="29"/>
      <c r="B17" s="91"/>
      <c r="C17" s="98"/>
      <c r="D17" s="99">
        <v>1435</v>
      </c>
      <c r="E17" s="116"/>
      <c r="F17" s="117">
        <v>25000</v>
      </c>
      <c r="G17" s="105" t="s">
        <v>70</v>
      </c>
    </row>
    <row r="18" spans="1:7" ht="12" customHeight="1">
      <c r="A18" s="29"/>
      <c r="B18" s="11" t="s">
        <v>18</v>
      </c>
      <c r="C18" s="30"/>
      <c r="D18" s="26">
        <v>1000</v>
      </c>
      <c r="E18" s="122">
        <v>1500</v>
      </c>
      <c r="F18" s="123"/>
      <c r="G18" s="108"/>
    </row>
    <row r="19" spans="1:7" ht="12" customHeight="1">
      <c r="A19" s="29"/>
      <c r="B19" s="11"/>
      <c r="C19" s="30"/>
      <c r="D19" s="26">
        <v>1435</v>
      </c>
      <c r="E19" s="122"/>
      <c r="F19" s="123">
        <v>25000</v>
      </c>
      <c r="G19" s="108" t="s">
        <v>70</v>
      </c>
    </row>
    <row r="20" spans="1:7" ht="12" customHeight="1">
      <c r="A20" s="29"/>
      <c r="B20" s="151"/>
      <c r="C20" s="73"/>
      <c r="D20" s="74">
        <v>1668</v>
      </c>
      <c r="E20" s="118">
        <v>3000</v>
      </c>
      <c r="F20" s="119"/>
      <c r="G20" s="106"/>
    </row>
    <row r="21" spans="1:7" ht="12" customHeight="1">
      <c r="A21" s="29"/>
      <c r="B21" s="93" t="s">
        <v>48</v>
      </c>
      <c r="C21" s="102"/>
      <c r="D21" s="103">
        <v>1000</v>
      </c>
      <c r="E21" s="126" t="s">
        <v>19</v>
      </c>
      <c r="F21" s="127"/>
      <c r="G21" s="110"/>
    </row>
    <row r="22" spans="1:7" ht="10.5" customHeight="1">
      <c r="A22" s="29"/>
      <c r="B22" s="93"/>
      <c r="C22" s="102"/>
      <c r="D22" s="103"/>
      <c r="E22" s="126" t="s">
        <v>17</v>
      </c>
      <c r="F22" s="127"/>
      <c r="G22" s="110"/>
    </row>
    <row r="23" spans="1:7" ht="12" customHeight="1">
      <c r="A23" s="29"/>
      <c r="B23" s="93"/>
      <c r="C23" s="102"/>
      <c r="D23" s="99">
        <v>1435</v>
      </c>
      <c r="E23" s="116">
        <v>1500</v>
      </c>
      <c r="F23" s="117">
        <v>25000</v>
      </c>
      <c r="G23" s="105" t="s">
        <v>70</v>
      </c>
    </row>
    <row r="24" spans="1:7" ht="12" customHeight="1">
      <c r="A24" s="29"/>
      <c r="B24" s="10" t="s">
        <v>60</v>
      </c>
      <c r="C24" s="30"/>
      <c r="D24" s="76">
        <v>1435</v>
      </c>
      <c r="E24" s="124">
        <v>3000</v>
      </c>
      <c r="F24" s="125">
        <v>25000</v>
      </c>
      <c r="G24" s="109" t="s">
        <v>70</v>
      </c>
    </row>
    <row r="25" spans="1:7" ht="12" customHeight="1">
      <c r="A25" s="29"/>
      <c r="B25" s="259" t="s">
        <v>50</v>
      </c>
      <c r="C25" s="296"/>
      <c r="D25" s="261">
        <v>1435</v>
      </c>
      <c r="E25" s="262">
        <v>3000</v>
      </c>
      <c r="F25" s="263">
        <v>25000</v>
      </c>
      <c r="G25" s="264" t="s">
        <v>70</v>
      </c>
    </row>
    <row r="26" spans="1:7" ht="9.75" customHeight="1">
      <c r="A26" s="29"/>
      <c r="B26" s="152" t="s">
        <v>29</v>
      </c>
      <c r="C26" s="75"/>
      <c r="D26" s="77" t="s">
        <v>59</v>
      </c>
      <c r="E26" s="128" t="s">
        <v>59</v>
      </c>
      <c r="F26" s="129" t="s">
        <v>59</v>
      </c>
      <c r="G26" s="111" t="s">
        <v>59</v>
      </c>
    </row>
    <row r="27" spans="1:7" ht="12" customHeight="1">
      <c r="A27" s="29"/>
      <c r="B27" s="265" t="s">
        <v>33</v>
      </c>
      <c r="C27" s="260"/>
      <c r="D27" s="261">
        <v>1520</v>
      </c>
      <c r="E27" s="262">
        <v>3000</v>
      </c>
      <c r="F27" s="266"/>
      <c r="G27" s="267"/>
    </row>
    <row r="28" spans="1:7" ht="12" customHeight="1">
      <c r="A28" s="29"/>
      <c r="B28" s="152" t="s">
        <v>34</v>
      </c>
      <c r="C28" s="75"/>
      <c r="D28" s="76">
        <v>1520</v>
      </c>
      <c r="E28" s="124"/>
      <c r="F28" s="125">
        <v>25000</v>
      </c>
      <c r="G28" s="109" t="s">
        <v>70</v>
      </c>
    </row>
    <row r="29" spans="1:7" ht="12" customHeight="1">
      <c r="A29" s="29"/>
      <c r="B29" s="265" t="s">
        <v>51</v>
      </c>
      <c r="C29" s="260"/>
      <c r="D29" s="261">
        <v>1435</v>
      </c>
      <c r="E29" s="262"/>
      <c r="F29" s="266">
        <v>25000</v>
      </c>
      <c r="G29" s="267" t="s">
        <v>70</v>
      </c>
    </row>
    <row r="30" spans="1:7" ht="12" customHeight="1">
      <c r="A30" s="29"/>
      <c r="B30" s="152" t="s">
        <v>32</v>
      </c>
      <c r="C30" s="75"/>
      <c r="D30" s="76">
        <v>1435</v>
      </c>
      <c r="E30" s="124"/>
      <c r="F30" s="125">
        <v>25000</v>
      </c>
      <c r="G30" s="109" t="s">
        <v>70</v>
      </c>
    </row>
    <row r="31" spans="1:7" ht="9.75" customHeight="1">
      <c r="A31" s="29"/>
      <c r="B31" s="265" t="s">
        <v>35</v>
      </c>
      <c r="C31" s="260"/>
      <c r="D31" s="268" t="s">
        <v>59</v>
      </c>
      <c r="E31" s="269" t="s">
        <v>59</v>
      </c>
      <c r="F31" s="270" t="s">
        <v>59</v>
      </c>
      <c r="G31" s="271" t="s">
        <v>59</v>
      </c>
    </row>
    <row r="32" spans="1:7" ht="12" customHeight="1">
      <c r="A32" s="29"/>
      <c r="B32" s="152" t="s">
        <v>43</v>
      </c>
      <c r="C32" s="75"/>
      <c r="D32" s="76">
        <v>1435</v>
      </c>
      <c r="E32" s="124">
        <v>1500</v>
      </c>
      <c r="F32" s="125"/>
      <c r="G32" s="109"/>
    </row>
    <row r="33" spans="1:7" ht="12" customHeight="1">
      <c r="A33" s="29"/>
      <c r="B33" s="265" t="s">
        <v>52</v>
      </c>
      <c r="C33" s="260"/>
      <c r="D33" s="261">
        <v>1435</v>
      </c>
      <c r="E33" s="262"/>
      <c r="F33" s="266">
        <v>15000</v>
      </c>
      <c r="G33" s="267" t="s">
        <v>69</v>
      </c>
    </row>
    <row r="34" spans="1:7" ht="12" customHeight="1">
      <c r="A34" s="8"/>
      <c r="B34" s="152" t="s">
        <v>36</v>
      </c>
      <c r="C34" s="75"/>
      <c r="D34" s="76">
        <v>1435</v>
      </c>
      <c r="E34" s="124">
        <v>3000</v>
      </c>
      <c r="F34" s="125"/>
      <c r="G34" s="109"/>
    </row>
    <row r="35" spans="1:7" ht="12" customHeight="1">
      <c r="A35" s="8"/>
      <c r="B35" s="272" t="s">
        <v>53</v>
      </c>
      <c r="C35" s="273"/>
      <c r="D35" s="274">
        <v>1000</v>
      </c>
      <c r="E35" s="275"/>
      <c r="F35" s="276"/>
      <c r="G35" s="277"/>
    </row>
    <row r="36" spans="1:7" ht="12" customHeight="1">
      <c r="A36" s="8"/>
      <c r="B36" s="151"/>
      <c r="C36" s="73"/>
      <c r="D36" s="74">
        <v>1668</v>
      </c>
      <c r="E36" s="118"/>
      <c r="F36" s="119">
        <v>25000</v>
      </c>
      <c r="G36" s="106" t="s">
        <v>70</v>
      </c>
    </row>
    <row r="37" spans="1:7" ht="12" customHeight="1">
      <c r="A37" s="8"/>
      <c r="B37" s="278" t="s">
        <v>37</v>
      </c>
      <c r="C37" s="279"/>
      <c r="D37" s="280">
        <v>1435</v>
      </c>
      <c r="E37" s="281"/>
      <c r="F37" s="263">
        <v>25000</v>
      </c>
      <c r="G37" s="264" t="s">
        <v>70</v>
      </c>
    </row>
    <row r="38" spans="1:7" ht="12" customHeight="1">
      <c r="A38" s="8"/>
      <c r="B38" s="152" t="s">
        <v>39</v>
      </c>
      <c r="C38" s="75"/>
      <c r="D38" s="76">
        <v>1435</v>
      </c>
      <c r="E38" s="124">
        <v>3000</v>
      </c>
      <c r="F38" s="125"/>
      <c r="G38" s="109"/>
    </row>
    <row r="39" spans="1:7" ht="12" customHeight="1">
      <c r="A39" s="8"/>
      <c r="B39" s="265" t="s">
        <v>38</v>
      </c>
      <c r="C39" s="260"/>
      <c r="D39" s="261">
        <v>1435</v>
      </c>
      <c r="E39" s="262">
        <v>3000</v>
      </c>
      <c r="F39" s="266">
        <v>25000</v>
      </c>
      <c r="G39" s="267" t="s">
        <v>70</v>
      </c>
    </row>
    <row r="40" spans="1:7" ht="12" customHeight="1">
      <c r="A40" s="8"/>
      <c r="B40" s="152" t="s">
        <v>54</v>
      </c>
      <c r="C40" s="75"/>
      <c r="D40" s="76">
        <v>1524</v>
      </c>
      <c r="E40" s="124"/>
      <c r="F40" s="125">
        <v>25000</v>
      </c>
      <c r="G40" s="109" t="s">
        <v>70</v>
      </c>
    </row>
    <row r="41" spans="1:7" ht="12" customHeight="1">
      <c r="A41" s="8"/>
      <c r="B41" s="265" t="s">
        <v>55</v>
      </c>
      <c r="C41" s="260"/>
      <c r="D41" s="261">
        <v>1435</v>
      </c>
      <c r="E41" s="262"/>
      <c r="F41" s="266">
        <v>15000</v>
      </c>
      <c r="G41" s="267" t="s">
        <v>69</v>
      </c>
    </row>
    <row r="42" spans="1:7" ht="12" customHeight="1">
      <c r="A42" s="8"/>
      <c r="B42" s="482" t="s">
        <v>44</v>
      </c>
      <c r="C42" s="30"/>
      <c r="D42" s="26">
        <v>1435</v>
      </c>
      <c r="E42" s="122">
        <v>750</v>
      </c>
      <c r="F42" s="123">
        <v>25000</v>
      </c>
      <c r="G42" s="108" t="s">
        <v>70</v>
      </c>
    </row>
    <row r="43" spans="2:7" ht="10.5" customHeight="1">
      <c r="B43" s="483"/>
      <c r="C43" s="30"/>
      <c r="D43" s="78">
        <v>1600</v>
      </c>
      <c r="E43" s="122" t="s">
        <v>17</v>
      </c>
      <c r="F43" s="123"/>
      <c r="G43" s="112"/>
    </row>
    <row r="44" spans="2:7" ht="10.5" customHeight="1">
      <c r="B44" s="483"/>
      <c r="C44" s="30"/>
      <c r="D44" s="79" t="s">
        <v>20</v>
      </c>
      <c r="E44" s="130"/>
      <c r="F44" s="131"/>
      <c r="G44" s="113"/>
    </row>
    <row r="45" spans="2:7" ht="24.75" customHeight="1">
      <c r="B45" s="442" t="s">
        <v>101</v>
      </c>
      <c r="C45" s="442"/>
      <c r="D45" s="442"/>
      <c r="E45" s="442"/>
      <c r="F45" s="442"/>
      <c r="G45" s="442"/>
    </row>
    <row r="46" spans="2:6" ht="12.75" customHeight="1">
      <c r="B46" s="476" t="s">
        <v>100</v>
      </c>
      <c r="C46" s="476"/>
      <c r="D46" s="476"/>
      <c r="E46" s="476"/>
      <c r="F46" s="476"/>
    </row>
    <row r="47" spans="2:7" ht="24.75" customHeight="1">
      <c r="B47" s="473" t="s">
        <v>99</v>
      </c>
      <c r="C47" s="473"/>
      <c r="D47" s="473"/>
      <c r="E47" s="473"/>
      <c r="F47" s="473"/>
      <c r="G47" s="473"/>
    </row>
    <row r="48" spans="2:7" ht="12.75" customHeight="1">
      <c r="B48" s="471" t="s">
        <v>98</v>
      </c>
      <c r="C48" s="472"/>
      <c r="D48" s="472"/>
      <c r="E48" s="472"/>
      <c r="F48" s="472"/>
      <c r="G48" s="472"/>
    </row>
  </sheetData>
  <sheetProtection/>
  <mergeCells count="9">
    <mergeCell ref="B48:G48"/>
    <mergeCell ref="B47:G47"/>
    <mergeCell ref="B2:G2"/>
    <mergeCell ref="B3:G3"/>
    <mergeCell ref="B46:F46"/>
    <mergeCell ref="F6:G6"/>
    <mergeCell ref="E5:G5"/>
    <mergeCell ref="B45:G45"/>
    <mergeCell ref="B42:B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8"/>
  <dimension ref="A1:J45"/>
  <sheetViews>
    <sheetView zoomScalePageLayoutView="0" workbookViewId="0" topLeftCell="A16">
      <selection activeCell="K1" sqref="K1:AA65536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8" width="8.7109375" style="0" customWidth="1"/>
    <col min="9" max="9" width="4.8515625" style="0" customWidth="1"/>
  </cols>
  <sheetData>
    <row r="1" spans="1:9" ht="14.25" customHeight="1">
      <c r="A1" s="1"/>
      <c r="B1" s="440"/>
      <c r="C1" s="440"/>
      <c r="D1" s="28"/>
      <c r="E1" s="25"/>
      <c r="F1" s="25"/>
      <c r="G1" s="25"/>
      <c r="I1" s="18" t="s">
        <v>117</v>
      </c>
    </row>
    <row r="2" spans="1:9" ht="30" customHeight="1">
      <c r="A2" s="1"/>
      <c r="B2" s="443" t="s">
        <v>63</v>
      </c>
      <c r="C2" s="443"/>
      <c r="D2" s="443"/>
      <c r="E2" s="443"/>
      <c r="F2" s="443"/>
      <c r="G2" s="443"/>
      <c r="H2" s="443"/>
      <c r="I2" s="443"/>
    </row>
    <row r="3" spans="1:9" ht="18" customHeight="1">
      <c r="A3" s="1"/>
      <c r="B3" s="484" t="s">
        <v>106</v>
      </c>
      <c r="C3" s="484"/>
      <c r="D3" s="484"/>
      <c r="E3" s="484"/>
      <c r="F3" s="484"/>
      <c r="G3" s="484"/>
      <c r="H3" s="484"/>
      <c r="I3" s="484"/>
    </row>
    <row r="4" spans="2:8" ht="33.75" customHeight="1">
      <c r="B4" s="3"/>
      <c r="C4" s="84" t="s">
        <v>64</v>
      </c>
      <c r="D4" s="85" t="s">
        <v>65</v>
      </c>
      <c r="E4" s="85" t="s">
        <v>66</v>
      </c>
      <c r="F4" s="85" t="s">
        <v>71</v>
      </c>
      <c r="G4" s="85" t="s">
        <v>67</v>
      </c>
      <c r="H4" s="86" t="s">
        <v>68</v>
      </c>
    </row>
    <row r="5" spans="2:9" ht="12.75" customHeight="1">
      <c r="B5" s="51" t="s">
        <v>132</v>
      </c>
      <c r="C5" s="205">
        <f>SUM(C8:C35)</f>
        <v>38</v>
      </c>
      <c r="D5" s="206">
        <f>SUM(D8:D35)</f>
        <v>27</v>
      </c>
      <c r="E5" s="206">
        <f>SUM(E8:E35)</f>
        <v>94</v>
      </c>
      <c r="F5" s="206">
        <f>SUM(F8:F35)</f>
        <v>35</v>
      </c>
      <c r="G5" s="206">
        <f>SUM(G8:G35)</f>
        <v>100</v>
      </c>
      <c r="H5" s="206">
        <f>SUM(H8:H35)</f>
        <v>34</v>
      </c>
      <c r="I5" s="51" t="s">
        <v>132</v>
      </c>
    </row>
    <row r="6" spans="1:9" ht="12.75" customHeight="1">
      <c r="A6" s="8"/>
      <c r="B6" s="54" t="s">
        <v>133</v>
      </c>
      <c r="C6" s="207">
        <f>SUM(C8,C11:C12,C14:C17,C23,C26:C27,C29,C33:C35,C19)</f>
        <v>35</v>
      </c>
      <c r="D6" s="208">
        <f>SUM(D8,D11:D12,D14:D17,D23,D26:D27,D29,D33:D35,D19)</f>
        <v>24</v>
      </c>
      <c r="E6" s="208">
        <f>SUM(E8,E11:E12,E14:E17,E23,E26:E27,E29,E33:E35,E19)</f>
        <v>75</v>
      </c>
      <c r="F6" s="208">
        <f>SUM(F8,F11:F12,F14:F17,F23,F26:F27,F29,F33:F35,F19)</f>
        <v>32</v>
      </c>
      <c r="G6" s="208">
        <f>SUM(G8,G11:G12,G14:G17,G23,G26:G27,G29,G33:G35,G19)</f>
        <v>86</v>
      </c>
      <c r="H6" s="208">
        <f>SUM(H8,H11:H12,H14:H17,H23,H26:H27,H29,H33:H35,H19)</f>
        <v>32</v>
      </c>
      <c r="I6" s="54" t="s">
        <v>133</v>
      </c>
    </row>
    <row r="7" spans="1:9" ht="12.75" customHeight="1">
      <c r="A7" s="8"/>
      <c r="B7" s="57" t="s">
        <v>134</v>
      </c>
      <c r="C7" s="209">
        <f>C5-C6</f>
        <v>3</v>
      </c>
      <c r="D7" s="209">
        <f>D5-D6</f>
        <v>3</v>
      </c>
      <c r="E7" s="209">
        <f>E5-E6</f>
        <v>19</v>
      </c>
      <c r="F7" s="209">
        <f>F5-F6</f>
        <v>3</v>
      </c>
      <c r="G7" s="209">
        <f>G5-G6</f>
        <v>14</v>
      </c>
      <c r="H7" s="209">
        <f>H5-H6</f>
        <v>2</v>
      </c>
      <c r="I7" s="57" t="s">
        <v>134</v>
      </c>
    </row>
    <row r="8" spans="1:10" ht="12.75" customHeight="1">
      <c r="A8" s="8"/>
      <c r="B8" s="9" t="s">
        <v>45</v>
      </c>
      <c r="C8" s="210">
        <v>1</v>
      </c>
      <c r="D8" s="211">
        <v>1</v>
      </c>
      <c r="E8" s="211"/>
      <c r="F8" s="211"/>
      <c r="G8" s="211">
        <v>3</v>
      </c>
      <c r="H8" s="191"/>
      <c r="I8" s="9" t="s">
        <v>45</v>
      </c>
      <c r="J8" s="239"/>
    </row>
    <row r="9" spans="1:10" ht="12.75" customHeight="1">
      <c r="A9" s="8"/>
      <c r="B9" s="54" t="s">
        <v>28</v>
      </c>
      <c r="C9" s="212"/>
      <c r="D9" s="213"/>
      <c r="E9" s="213">
        <v>3</v>
      </c>
      <c r="F9" s="213"/>
      <c r="G9" s="213"/>
      <c r="H9" s="154"/>
      <c r="I9" s="54" t="s">
        <v>28</v>
      </c>
      <c r="J9" s="239"/>
    </row>
    <row r="10" spans="1:10" ht="12.75" customHeight="1">
      <c r="A10" s="8"/>
      <c r="B10" s="10" t="s">
        <v>30</v>
      </c>
      <c r="C10" s="214">
        <v>1</v>
      </c>
      <c r="D10" s="215"/>
      <c r="E10" s="215"/>
      <c r="F10" s="215"/>
      <c r="G10" s="215">
        <v>2</v>
      </c>
      <c r="H10" s="165">
        <v>2</v>
      </c>
      <c r="I10" s="10" t="s">
        <v>30</v>
      </c>
      <c r="J10" s="239"/>
    </row>
    <row r="11" spans="1:10" ht="12.75" customHeight="1">
      <c r="A11" s="8"/>
      <c r="B11" s="54" t="s">
        <v>41</v>
      </c>
      <c r="C11" s="212">
        <v>1</v>
      </c>
      <c r="D11" s="213"/>
      <c r="E11" s="213">
        <v>2</v>
      </c>
      <c r="F11" s="213"/>
      <c r="G11" s="213">
        <v>4</v>
      </c>
      <c r="H11" s="154">
        <v>1</v>
      </c>
      <c r="I11" s="54" t="s">
        <v>41</v>
      </c>
      <c r="J11" s="239"/>
    </row>
    <row r="12" spans="1:10" ht="12.75" customHeight="1">
      <c r="A12" s="8"/>
      <c r="B12" s="10" t="s">
        <v>46</v>
      </c>
      <c r="C12" s="214">
        <v>7</v>
      </c>
      <c r="D12" s="215">
        <v>2</v>
      </c>
      <c r="E12" s="215">
        <v>8</v>
      </c>
      <c r="F12" s="215">
        <v>4</v>
      </c>
      <c r="G12" s="215">
        <v>4</v>
      </c>
      <c r="H12" s="165"/>
      <c r="I12" s="10" t="s">
        <v>46</v>
      </c>
      <c r="J12" s="239"/>
    </row>
    <row r="13" spans="1:10" ht="12.75" customHeight="1">
      <c r="A13" s="8"/>
      <c r="B13" s="54" t="s">
        <v>31</v>
      </c>
      <c r="C13" s="212"/>
      <c r="D13" s="213"/>
      <c r="E13" s="213">
        <v>1</v>
      </c>
      <c r="F13" s="213"/>
      <c r="G13" s="213"/>
      <c r="H13" s="154"/>
      <c r="I13" s="54" t="s">
        <v>31</v>
      </c>
      <c r="J13" s="239"/>
    </row>
    <row r="14" spans="1:9" ht="12.75" customHeight="1">
      <c r="A14" s="8"/>
      <c r="B14" s="10" t="s">
        <v>49</v>
      </c>
      <c r="C14" s="214">
        <v>1</v>
      </c>
      <c r="D14" s="215"/>
      <c r="E14" s="215">
        <v>2</v>
      </c>
      <c r="F14" s="215">
        <v>1</v>
      </c>
      <c r="G14" s="215">
        <v>1</v>
      </c>
      <c r="H14" s="165"/>
      <c r="I14" s="10" t="s">
        <v>49</v>
      </c>
    </row>
    <row r="15" spans="1:9" ht="12.75" customHeight="1">
      <c r="A15" s="8"/>
      <c r="B15" s="54" t="s">
        <v>42</v>
      </c>
      <c r="C15" s="212">
        <v>1</v>
      </c>
      <c r="D15" s="213">
        <v>2</v>
      </c>
      <c r="E15" s="213">
        <v>6</v>
      </c>
      <c r="F15" s="213">
        <v>2</v>
      </c>
      <c r="G15" s="213">
        <v>11</v>
      </c>
      <c r="H15" s="154">
        <v>11</v>
      </c>
      <c r="I15" s="54" t="s">
        <v>42</v>
      </c>
    </row>
    <row r="16" spans="1:9" ht="12.75" customHeight="1">
      <c r="A16" s="8"/>
      <c r="B16" s="10" t="s">
        <v>47</v>
      </c>
      <c r="C16" s="214">
        <v>6</v>
      </c>
      <c r="D16" s="215">
        <v>4</v>
      </c>
      <c r="E16" s="215">
        <v>10</v>
      </c>
      <c r="F16" s="215">
        <v>7</v>
      </c>
      <c r="G16" s="215">
        <v>5</v>
      </c>
      <c r="H16" s="165"/>
      <c r="I16" s="10" t="s">
        <v>47</v>
      </c>
    </row>
    <row r="17" spans="1:9" ht="12.75" customHeight="1">
      <c r="A17" s="8"/>
      <c r="B17" s="54" t="s">
        <v>48</v>
      </c>
      <c r="C17" s="212">
        <v>3</v>
      </c>
      <c r="D17" s="213">
        <v>4</v>
      </c>
      <c r="E17" s="213">
        <v>11</v>
      </c>
      <c r="F17" s="213">
        <v>6</v>
      </c>
      <c r="G17" s="213">
        <v>18</v>
      </c>
      <c r="H17" s="154">
        <v>1</v>
      </c>
      <c r="I17" s="54" t="s">
        <v>48</v>
      </c>
    </row>
    <row r="18" spans="1:9" ht="12.75" customHeight="1">
      <c r="A18" s="8"/>
      <c r="B18" s="10" t="s">
        <v>60</v>
      </c>
      <c r="C18" s="214"/>
      <c r="D18" s="215"/>
      <c r="E18" s="215">
        <v>3</v>
      </c>
      <c r="F18" s="215"/>
      <c r="G18" s="215">
        <v>2</v>
      </c>
      <c r="H18" s="165"/>
      <c r="I18" s="10" t="s">
        <v>60</v>
      </c>
    </row>
    <row r="19" spans="1:9" ht="12.75" customHeight="1">
      <c r="A19" s="8"/>
      <c r="B19" s="224" t="s">
        <v>50</v>
      </c>
      <c r="C19" s="282">
        <v>3</v>
      </c>
      <c r="D19" s="283">
        <v>6</v>
      </c>
      <c r="E19" s="283">
        <v>14</v>
      </c>
      <c r="F19" s="283">
        <v>3</v>
      </c>
      <c r="G19" s="283">
        <v>7</v>
      </c>
      <c r="H19" s="203"/>
      <c r="I19" s="224" t="s">
        <v>50</v>
      </c>
    </row>
    <row r="20" spans="1:9" ht="12.75" customHeight="1">
      <c r="A20" s="8"/>
      <c r="B20" s="10" t="s">
        <v>29</v>
      </c>
      <c r="C20" s="214"/>
      <c r="D20" s="215">
        <v>1</v>
      </c>
      <c r="E20" s="215">
        <v>1</v>
      </c>
      <c r="F20" s="215"/>
      <c r="G20" s="215"/>
      <c r="H20" s="165"/>
      <c r="I20" s="10" t="s">
        <v>29</v>
      </c>
    </row>
    <row r="21" spans="1:9" ht="12.75" customHeight="1">
      <c r="A21" s="8"/>
      <c r="B21" s="224" t="s">
        <v>33</v>
      </c>
      <c r="C21" s="282"/>
      <c r="D21" s="283">
        <v>1</v>
      </c>
      <c r="E21" s="283"/>
      <c r="F21" s="283"/>
      <c r="G21" s="283"/>
      <c r="H21" s="203"/>
      <c r="I21" s="224" t="s">
        <v>33</v>
      </c>
    </row>
    <row r="22" spans="1:9" ht="12.75" customHeight="1">
      <c r="A22" s="8"/>
      <c r="B22" s="10" t="s">
        <v>34</v>
      </c>
      <c r="C22" s="214"/>
      <c r="D22" s="215"/>
      <c r="E22" s="215">
        <v>1</v>
      </c>
      <c r="F22" s="215">
        <v>1</v>
      </c>
      <c r="G22" s="215">
        <v>1</v>
      </c>
      <c r="H22" s="165"/>
      <c r="I22" s="10" t="s">
        <v>34</v>
      </c>
    </row>
    <row r="23" spans="1:9" ht="12.75" customHeight="1">
      <c r="A23" s="8"/>
      <c r="B23" s="224" t="s">
        <v>51</v>
      </c>
      <c r="C23" s="282"/>
      <c r="D23" s="283"/>
      <c r="E23" s="283">
        <v>1</v>
      </c>
      <c r="F23" s="283"/>
      <c r="G23" s="283"/>
      <c r="H23" s="203"/>
      <c r="I23" s="224" t="s">
        <v>51</v>
      </c>
    </row>
    <row r="24" spans="1:9" ht="12.75" customHeight="1">
      <c r="A24" s="8"/>
      <c r="B24" s="10" t="s">
        <v>32</v>
      </c>
      <c r="C24" s="214">
        <v>1</v>
      </c>
      <c r="D24" s="215"/>
      <c r="E24" s="215"/>
      <c r="F24" s="215"/>
      <c r="G24" s="215"/>
      <c r="H24" s="165"/>
      <c r="I24" s="10" t="s">
        <v>32</v>
      </c>
    </row>
    <row r="25" spans="1:9" ht="12.75" customHeight="1">
      <c r="A25" s="8"/>
      <c r="B25" s="224" t="s">
        <v>35</v>
      </c>
      <c r="C25" s="282"/>
      <c r="D25" s="283"/>
      <c r="E25" s="283">
        <v>1</v>
      </c>
      <c r="F25" s="283"/>
      <c r="G25" s="283"/>
      <c r="H25" s="203"/>
      <c r="I25" s="224" t="s">
        <v>35</v>
      </c>
    </row>
    <row r="26" spans="1:9" ht="12.75" customHeight="1">
      <c r="A26" s="8"/>
      <c r="B26" s="10" t="s">
        <v>43</v>
      </c>
      <c r="C26" s="214">
        <v>1</v>
      </c>
      <c r="D26" s="215"/>
      <c r="E26" s="215">
        <v>2</v>
      </c>
      <c r="F26" s="215"/>
      <c r="G26" s="215">
        <v>2</v>
      </c>
      <c r="H26" s="165"/>
      <c r="I26" s="10" t="s">
        <v>43</v>
      </c>
    </row>
    <row r="27" spans="1:9" ht="12.75" customHeight="1">
      <c r="A27" s="8"/>
      <c r="B27" s="224" t="s">
        <v>52</v>
      </c>
      <c r="C27" s="282">
        <v>1</v>
      </c>
      <c r="D27" s="283"/>
      <c r="E27" s="283">
        <v>2</v>
      </c>
      <c r="F27" s="283">
        <v>2</v>
      </c>
      <c r="G27" s="283">
        <v>1</v>
      </c>
      <c r="H27" s="203"/>
      <c r="I27" s="224" t="s">
        <v>52</v>
      </c>
    </row>
    <row r="28" spans="1:9" ht="12.75" customHeight="1">
      <c r="A28" s="8"/>
      <c r="B28" s="10" t="s">
        <v>36</v>
      </c>
      <c r="C28" s="214">
        <v>1</v>
      </c>
      <c r="D28" s="215"/>
      <c r="E28" s="215">
        <v>6</v>
      </c>
      <c r="F28" s="215">
        <v>1</v>
      </c>
      <c r="G28" s="215">
        <v>4</v>
      </c>
      <c r="H28" s="165"/>
      <c r="I28" s="10" t="s">
        <v>36</v>
      </c>
    </row>
    <row r="29" spans="1:9" ht="12.75" customHeight="1">
      <c r="A29" s="8"/>
      <c r="B29" s="224" t="s">
        <v>53</v>
      </c>
      <c r="C29" s="282">
        <v>1</v>
      </c>
      <c r="D29" s="283">
        <v>2</v>
      </c>
      <c r="E29" s="283">
        <v>2</v>
      </c>
      <c r="F29" s="283"/>
      <c r="G29" s="283">
        <v>3</v>
      </c>
      <c r="H29" s="203">
        <v>5</v>
      </c>
      <c r="I29" s="224" t="s">
        <v>53</v>
      </c>
    </row>
    <row r="30" spans="1:9" ht="12.75" customHeight="1">
      <c r="A30" s="8"/>
      <c r="B30" s="10" t="s">
        <v>37</v>
      </c>
      <c r="C30" s="214"/>
      <c r="D30" s="215">
        <v>1</v>
      </c>
      <c r="E30" s="215">
        <v>1</v>
      </c>
      <c r="F30" s="215">
        <v>1</v>
      </c>
      <c r="G30" s="215">
        <v>4</v>
      </c>
      <c r="H30" s="165"/>
      <c r="I30" s="10" t="s">
        <v>37</v>
      </c>
    </row>
    <row r="31" spans="1:9" ht="12.75" customHeight="1">
      <c r="A31" s="8"/>
      <c r="B31" s="224" t="s">
        <v>39</v>
      </c>
      <c r="C31" s="282"/>
      <c r="D31" s="283"/>
      <c r="E31" s="283">
        <v>1</v>
      </c>
      <c r="F31" s="283"/>
      <c r="G31" s="283"/>
      <c r="H31" s="203"/>
      <c r="I31" s="224" t="s">
        <v>39</v>
      </c>
    </row>
    <row r="32" spans="1:9" ht="12.75" customHeight="1">
      <c r="A32" s="8"/>
      <c r="B32" s="10" t="s">
        <v>38</v>
      </c>
      <c r="C32" s="214"/>
      <c r="D32" s="215"/>
      <c r="E32" s="215">
        <v>1</v>
      </c>
      <c r="F32" s="215"/>
      <c r="G32" s="215">
        <v>1</v>
      </c>
      <c r="H32" s="165"/>
      <c r="I32" s="10" t="s">
        <v>38</v>
      </c>
    </row>
    <row r="33" spans="1:9" ht="12.75" customHeight="1">
      <c r="A33" s="8"/>
      <c r="B33" s="224" t="s">
        <v>54</v>
      </c>
      <c r="C33" s="282">
        <v>1</v>
      </c>
      <c r="D33" s="283"/>
      <c r="E33" s="283"/>
      <c r="F33" s="283">
        <v>1</v>
      </c>
      <c r="G33" s="283">
        <v>8</v>
      </c>
      <c r="H33" s="203">
        <v>8</v>
      </c>
      <c r="I33" s="224" t="s">
        <v>54</v>
      </c>
    </row>
    <row r="34" spans="1:9" ht="12.75" customHeight="1">
      <c r="A34" s="8"/>
      <c r="B34" s="10" t="s">
        <v>55</v>
      </c>
      <c r="C34" s="214">
        <v>1</v>
      </c>
      <c r="D34" s="215">
        <v>1</v>
      </c>
      <c r="E34" s="215">
        <v>5</v>
      </c>
      <c r="F34" s="215"/>
      <c r="G34" s="215">
        <v>10</v>
      </c>
      <c r="H34" s="165">
        <v>1</v>
      </c>
      <c r="I34" s="10" t="s">
        <v>55</v>
      </c>
    </row>
    <row r="35" spans="1:9" ht="12.75" customHeight="1">
      <c r="A35" s="8"/>
      <c r="B35" s="224" t="s">
        <v>44</v>
      </c>
      <c r="C35" s="282">
        <v>7</v>
      </c>
      <c r="D35" s="283">
        <v>2</v>
      </c>
      <c r="E35" s="283">
        <v>10</v>
      </c>
      <c r="F35" s="283">
        <v>6</v>
      </c>
      <c r="G35" s="283">
        <v>9</v>
      </c>
      <c r="H35" s="203">
        <v>5</v>
      </c>
      <c r="I35" s="224" t="s">
        <v>44</v>
      </c>
    </row>
    <row r="36" spans="1:9" ht="12.75" customHeight="1">
      <c r="A36" s="8"/>
      <c r="B36" s="9" t="s">
        <v>131</v>
      </c>
      <c r="C36" s="210"/>
      <c r="D36" s="211"/>
      <c r="E36" s="211">
        <v>1</v>
      </c>
      <c r="F36" s="211"/>
      <c r="G36" s="211"/>
      <c r="H36" s="191"/>
      <c r="I36" s="9" t="s">
        <v>131</v>
      </c>
    </row>
    <row r="37" spans="1:9" ht="12.75" customHeight="1">
      <c r="A37" s="8"/>
      <c r="B37" s="224" t="s">
        <v>129</v>
      </c>
      <c r="C37" s="282"/>
      <c r="D37" s="283"/>
      <c r="E37" s="283"/>
      <c r="F37" s="283">
        <v>2</v>
      </c>
      <c r="G37" s="283"/>
      <c r="H37" s="358"/>
      <c r="I37" s="224" t="s">
        <v>129</v>
      </c>
    </row>
    <row r="38" spans="1:9" ht="12.75" customHeight="1">
      <c r="A38" s="8"/>
      <c r="B38" s="10" t="s">
        <v>1</v>
      </c>
      <c r="C38" s="214"/>
      <c r="D38" s="215"/>
      <c r="E38" s="215">
        <v>1</v>
      </c>
      <c r="F38" s="215"/>
      <c r="G38" s="215"/>
      <c r="H38" s="165">
        <v>1</v>
      </c>
      <c r="I38" s="10" t="s">
        <v>1</v>
      </c>
    </row>
    <row r="39" spans="1:10" ht="12.75" customHeight="1">
      <c r="A39" s="8"/>
      <c r="B39" s="224" t="s">
        <v>130</v>
      </c>
      <c r="C39" s="282"/>
      <c r="D39" s="283"/>
      <c r="E39" s="283">
        <v>1</v>
      </c>
      <c r="F39" s="283"/>
      <c r="G39" s="283"/>
      <c r="H39" s="203">
        <v>1</v>
      </c>
      <c r="I39" s="224" t="s">
        <v>130</v>
      </c>
      <c r="J39" s="239"/>
    </row>
    <row r="40" spans="1:10" ht="12.75" customHeight="1">
      <c r="A40" s="8"/>
      <c r="B40" s="12" t="s">
        <v>40</v>
      </c>
      <c r="C40" s="216">
        <v>5</v>
      </c>
      <c r="D40" s="217">
        <v>1</v>
      </c>
      <c r="E40" s="217">
        <v>11</v>
      </c>
      <c r="F40" s="217">
        <v>7</v>
      </c>
      <c r="G40" s="217">
        <v>18</v>
      </c>
      <c r="H40" s="218">
        <v>9</v>
      </c>
      <c r="I40" s="12" t="s">
        <v>40</v>
      </c>
      <c r="J40" s="215"/>
    </row>
    <row r="41" spans="1:9" ht="12.75" customHeight="1">
      <c r="A41" s="8"/>
      <c r="B41" s="224" t="s">
        <v>26</v>
      </c>
      <c r="C41" s="282"/>
      <c r="D41" s="283"/>
      <c r="E41" s="283">
        <v>1</v>
      </c>
      <c r="F41" s="283"/>
      <c r="G41" s="283"/>
      <c r="H41" s="197"/>
      <c r="I41" s="224" t="s">
        <v>26</v>
      </c>
    </row>
    <row r="42" spans="1:9" ht="12.75" customHeight="1">
      <c r="A42" s="8"/>
      <c r="B42" s="10" t="s">
        <v>56</v>
      </c>
      <c r="C42" s="214">
        <v>1</v>
      </c>
      <c r="D42" s="215">
        <v>1</v>
      </c>
      <c r="E42" s="215">
        <v>8</v>
      </c>
      <c r="F42" s="215">
        <v>3</v>
      </c>
      <c r="G42" s="215">
        <v>10</v>
      </c>
      <c r="H42" s="165">
        <v>6</v>
      </c>
      <c r="I42" s="10" t="s">
        <v>56</v>
      </c>
    </row>
    <row r="43" spans="1:9" ht="12.75" customHeight="1">
      <c r="A43" s="8"/>
      <c r="B43" s="251" t="s">
        <v>27</v>
      </c>
      <c r="C43" s="284">
        <v>2</v>
      </c>
      <c r="D43" s="285">
        <v>1</v>
      </c>
      <c r="E43" s="285"/>
      <c r="F43" s="285"/>
      <c r="G43" s="285">
        <v>2</v>
      </c>
      <c r="H43" s="286">
        <v>1</v>
      </c>
      <c r="I43" s="251" t="s">
        <v>27</v>
      </c>
    </row>
    <row r="44" spans="2:8" ht="23.25" customHeight="1">
      <c r="B44" s="441" t="s">
        <v>149</v>
      </c>
      <c r="C44" s="441"/>
      <c r="D44" s="441"/>
      <c r="E44" s="441"/>
      <c r="F44" s="441"/>
      <c r="G44" s="441"/>
      <c r="H44" s="219"/>
    </row>
    <row r="45" spans="2:9" ht="47.25" customHeight="1">
      <c r="B45" s="469" t="s">
        <v>163</v>
      </c>
      <c r="C45" s="469"/>
      <c r="D45" s="469"/>
      <c r="E45" s="469"/>
      <c r="F45" s="469"/>
      <c r="G45" s="469"/>
      <c r="H45" s="469"/>
      <c r="I45" s="469"/>
    </row>
    <row r="46" ht="12.75" customHeight="1"/>
    <row r="47" ht="12.75" customHeight="1"/>
  </sheetData>
  <sheetProtection/>
  <mergeCells count="5">
    <mergeCell ref="B45:I45"/>
    <mergeCell ref="B1:C1"/>
    <mergeCell ref="B44:G44"/>
    <mergeCell ref="B2:I2"/>
    <mergeCell ref="B3:I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AA47"/>
  <sheetViews>
    <sheetView zoomScalePageLayoutView="0" workbookViewId="0" topLeftCell="A31">
      <selection activeCell="AG30" sqref="A30:AG30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5" width="6.00390625" style="0" customWidth="1"/>
    <col min="6" max="10" width="6.7109375" style="0" customWidth="1"/>
    <col min="11" max="13" width="6.00390625" style="0" customWidth="1"/>
    <col min="14" max="15" width="6.7109375" style="0" customWidth="1"/>
    <col min="16" max="22" width="7.28125" style="0" customWidth="1"/>
    <col min="23" max="26" width="7.421875" style="0" customWidth="1"/>
    <col min="27" max="27" width="4.7109375" style="0" customWidth="1"/>
  </cols>
  <sheetData>
    <row r="1" spans="2:27" ht="14.25" customHeight="1">
      <c r="B1" s="440"/>
      <c r="C1" s="440"/>
      <c r="D1" s="28"/>
      <c r="E1" s="25"/>
      <c r="F1" s="25"/>
      <c r="G1" s="25"/>
      <c r="H1" s="25"/>
      <c r="I1" s="25"/>
      <c r="J1" s="25"/>
      <c r="K1" s="25"/>
      <c r="L1" s="25"/>
      <c r="AA1" s="18" t="s">
        <v>118</v>
      </c>
    </row>
    <row r="2" spans="2:27" ht="30" customHeight="1">
      <c r="B2" s="443" t="s">
        <v>77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</row>
    <row r="3" spans="2:27" ht="38.25" customHeight="1">
      <c r="B3" s="462" t="s">
        <v>78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</row>
    <row r="4" spans="2:26" ht="12.75" customHeight="1">
      <c r="B4" s="3"/>
      <c r="C4" s="37"/>
      <c r="D4" s="37"/>
      <c r="E4" s="180"/>
      <c r="F4" s="180"/>
      <c r="G4" s="180"/>
      <c r="H4" s="180"/>
      <c r="I4" s="180"/>
      <c r="J4" s="180"/>
      <c r="K4" s="180"/>
      <c r="L4" s="180"/>
      <c r="R4" s="38" t="s">
        <v>5</v>
      </c>
      <c r="S4" s="38"/>
      <c r="T4" s="38"/>
      <c r="U4" s="38"/>
      <c r="V4" s="38"/>
      <c r="W4" s="38"/>
      <c r="X4" s="38"/>
      <c r="Y4" s="38"/>
      <c r="Z4" s="38"/>
    </row>
    <row r="5" spans="2:26" ht="15" customHeight="1">
      <c r="B5" s="176"/>
      <c r="C5" s="48">
        <v>1970</v>
      </c>
      <c r="D5" s="49">
        <v>1980</v>
      </c>
      <c r="E5" s="49">
        <v>1990</v>
      </c>
      <c r="F5" s="49">
        <v>1995</v>
      </c>
      <c r="G5" s="49">
        <v>1996</v>
      </c>
      <c r="H5" s="49">
        <v>1997</v>
      </c>
      <c r="I5" s="49">
        <v>1998</v>
      </c>
      <c r="J5" s="49">
        <v>1999</v>
      </c>
      <c r="K5" s="49">
        <v>2000</v>
      </c>
      <c r="L5" s="49">
        <v>2001</v>
      </c>
      <c r="M5" s="49">
        <v>2002</v>
      </c>
      <c r="N5" s="49">
        <v>2003</v>
      </c>
      <c r="O5" s="49">
        <v>2004</v>
      </c>
      <c r="P5" s="49">
        <v>2005</v>
      </c>
      <c r="Q5" s="49">
        <v>2006</v>
      </c>
      <c r="R5" s="49">
        <v>2007</v>
      </c>
      <c r="S5" s="49">
        <v>2008</v>
      </c>
      <c r="T5" s="49">
        <v>2009</v>
      </c>
      <c r="U5" s="49">
        <v>2010</v>
      </c>
      <c r="V5" s="49">
        <v>2011</v>
      </c>
      <c r="W5" s="49">
        <v>2012</v>
      </c>
      <c r="X5" s="49">
        <v>2013</v>
      </c>
      <c r="Y5" s="49">
        <v>2014</v>
      </c>
      <c r="Z5" s="50">
        <v>2015</v>
      </c>
    </row>
    <row r="6" spans="2:27" ht="12.75" customHeight="1">
      <c r="B6" s="51" t="s">
        <v>132</v>
      </c>
      <c r="C6" s="367"/>
      <c r="D6" s="320"/>
      <c r="E6" s="320"/>
      <c r="F6" s="320">
        <f aca="true" t="shared" si="0" ref="F6:O6">SUM(F9:F36)</f>
        <v>38611</v>
      </c>
      <c r="G6" s="168">
        <f t="shared" si="0"/>
        <v>38256</v>
      </c>
      <c r="H6" s="168">
        <f t="shared" si="0"/>
        <v>38464</v>
      </c>
      <c r="I6" s="168">
        <f t="shared" si="0"/>
        <v>39536.1</v>
      </c>
      <c r="J6" s="168">
        <f t="shared" si="0"/>
        <v>39450.1</v>
      </c>
      <c r="K6" s="168">
        <f t="shared" si="0"/>
        <v>40810.8</v>
      </c>
      <c r="L6" s="168">
        <f t="shared" si="0"/>
        <v>40367.1</v>
      </c>
      <c r="M6" s="168">
        <f t="shared" si="0"/>
        <v>40277.1</v>
      </c>
      <c r="N6" s="168">
        <f t="shared" si="0"/>
        <v>40116.1</v>
      </c>
      <c r="O6" s="168">
        <f t="shared" si="0"/>
        <v>41245.1</v>
      </c>
      <c r="P6" s="320">
        <f aca="true" t="shared" si="1" ref="P6:V6">SUM(P9:P36)</f>
        <v>41848.1</v>
      </c>
      <c r="Q6" s="320">
        <f t="shared" si="1"/>
        <v>41750.1</v>
      </c>
      <c r="R6" s="320">
        <f t="shared" si="1"/>
        <v>41686.1</v>
      </c>
      <c r="S6" s="320">
        <f t="shared" si="1"/>
        <v>41390.1</v>
      </c>
      <c r="T6" s="168">
        <f t="shared" si="1"/>
        <v>41366.1</v>
      </c>
      <c r="U6" s="168">
        <f t="shared" si="1"/>
        <v>41787.7</v>
      </c>
      <c r="V6" s="169">
        <f t="shared" si="1"/>
        <v>41937.3</v>
      </c>
      <c r="W6" s="169">
        <f>SUM(W9:W36)</f>
        <v>41867.3</v>
      </c>
      <c r="X6" s="169">
        <f>SUM(X9:X36)</f>
        <v>42052.3</v>
      </c>
      <c r="Y6" s="169">
        <f>SUM(Y9:Y36)</f>
        <v>41733.6</v>
      </c>
      <c r="Z6" s="169">
        <f>SUM(Z9:Z36)</f>
        <v>41934.7</v>
      </c>
      <c r="AA6" s="51" t="s">
        <v>132</v>
      </c>
    </row>
    <row r="7" spans="1:27" ht="12.75" customHeight="1">
      <c r="A7" s="2"/>
      <c r="B7" s="54" t="s">
        <v>133</v>
      </c>
      <c r="C7" s="368">
        <f>SUM(C9,C12:C13,C15:C18,C24,C27:C28,C30,C34:C36,C20)</f>
        <v>31748</v>
      </c>
      <c r="D7" s="324">
        <f aca="true" t="shared" si="2" ref="D7:V7">SUM(D9,D12:D13,D15:D18,D24,D27:D28,D30,D34:D36,D20)</f>
        <v>30030</v>
      </c>
      <c r="E7" s="324">
        <f t="shared" si="2"/>
        <v>26565</v>
      </c>
      <c r="F7" s="324">
        <f t="shared" si="2"/>
        <v>28338</v>
      </c>
      <c r="G7" s="169">
        <f t="shared" si="2"/>
        <v>28151</v>
      </c>
      <c r="H7" s="169">
        <f t="shared" si="2"/>
        <v>28559</v>
      </c>
      <c r="I7" s="324">
        <f t="shared" si="2"/>
        <v>29857</v>
      </c>
      <c r="J7" s="169">
        <f t="shared" si="2"/>
        <v>29770</v>
      </c>
      <c r="K7" s="169">
        <f t="shared" si="2"/>
        <v>31120</v>
      </c>
      <c r="L7" s="169">
        <f t="shared" si="2"/>
        <v>30665</v>
      </c>
      <c r="M7" s="169">
        <f t="shared" si="2"/>
        <v>30791</v>
      </c>
      <c r="N7" s="169">
        <f t="shared" si="2"/>
        <v>30618</v>
      </c>
      <c r="O7" s="169">
        <f t="shared" si="2"/>
        <v>31669</v>
      </c>
      <c r="P7" s="324">
        <f t="shared" si="2"/>
        <v>32124</v>
      </c>
      <c r="Q7" s="324">
        <f t="shared" si="2"/>
        <v>31853</v>
      </c>
      <c r="R7" s="324">
        <f t="shared" si="2"/>
        <v>31789</v>
      </c>
      <c r="S7" s="324">
        <f t="shared" si="2"/>
        <v>31478</v>
      </c>
      <c r="T7" s="169">
        <f t="shared" si="2"/>
        <v>31435</v>
      </c>
      <c r="U7" s="169">
        <f t="shared" si="2"/>
        <v>31579</v>
      </c>
      <c r="V7" s="169">
        <f t="shared" si="2"/>
        <v>31513</v>
      </c>
      <c r="W7" s="169">
        <f>SUM(W9,W12:W13,W15:W18,W24,W27:W28,W30,W34:W36,W20)</f>
        <v>31443</v>
      </c>
      <c r="X7" s="169">
        <f>SUM(X9,X12:X13,X15:X18,X24,X27:X28,X30,X34:X36,X20)</f>
        <v>31558</v>
      </c>
      <c r="Y7" s="169">
        <f>SUM(Y9,Y12:Y13,Y15:Y18,Y24,Y27:Y28,Y30,Y34:Y36,Y20)</f>
        <v>31222</v>
      </c>
      <c r="Z7" s="169">
        <f>SUM(Z9,Z12:Z13,Z15:Z18,Z24,Z27:Z28,Z30,Z34:Z36,Z20)</f>
        <v>31396</v>
      </c>
      <c r="AA7" s="54" t="s">
        <v>133</v>
      </c>
    </row>
    <row r="8" spans="1:27" ht="12.75" customHeight="1">
      <c r="A8" s="2"/>
      <c r="B8" s="57" t="s">
        <v>134</v>
      </c>
      <c r="C8" s="328"/>
      <c r="D8" s="328"/>
      <c r="E8" s="328"/>
      <c r="F8" s="328">
        <f>F6-F7</f>
        <v>10273</v>
      </c>
      <c r="G8" s="369">
        <f aca="true" t="shared" si="3" ref="G8:V8">G6-G7</f>
        <v>10105</v>
      </c>
      <c r="H8" s="328">
        <f t="shared" si="3"/>
        <v>9905</v>
      </c>
      <c r="I8" s="328">
        <f t="shared" si="3"/>
        <v>9679.099999999999</v>
      </c>
      <c r="J8" s="328">
        <f t="shared" si="3"/>
        <v>9680.099999999999</v>
      </c>
      <c r="K8" s="328">
        <f t="shared" si="3"/>
        <v>9690.800000000003</v>
      </c>
      <c r="L8" s="328">
        <f t="shared" si="3"/>
        <v>9702.099999999999</v>
      </c>
      <c r="M8" s="328">
        <f t="shared" si="3"/>
        <v>9486.099999999999</v>
      </c>
      <c r="N8" s="328">
        <f t="shared" si="3"/>
        <v>9498.099999999999</v>
      </c>
      <c r="O8" s="328">
        <f t="shared" si="3"/>
        <v>9576.099999999999</v>
      </c>
      <c r="P8" s="328">
        <f t="shared" si="3"/>
        <v>9724.099999999999</v>
      </c>
      <c r="Q8" s="328">
        <f t="shared" si="3"/>
        <v>9897.099999999999</v>
      </c>
      <c r="R8" s="328">
        <f t="shared" si="3"/>
        <v>9897.099999999999</v>
      </c>
      <c r="S8" s="328">
        <f t="shared" si="3"/>
        <v>9912.099999999999</v>
      </c>
      <c r="T8" s="328">
        <f t="shared" si="3"/>
        <v>9931.099999999999</v>
      </c>
      <c r="U8" s="328">
        <f t="shared" si="3"/>
        <v>10208.699999999997</v>
      </c>
      <c r="V8" s="328">
        <f t="shared" si="3"/>
        <v>10424.300000000003</v>
      </c>
      <c r="W8" s="328">
        <f>W6-W7</f>
        <v>10424.300000000003</v>
      </c>
      <c r="X8" s="328">
        <f>X6-X7</f>
        <v>10494.300000000003</v>
      </c>
      <c r="Y8" s="328">
        <f>Y6-Y7</f>
        <v>10511.599999999999</v>
      </c>
      <c r="Z8" s="328">
        <f>Z6-Z7</f>
        <v>10538.699999999997</v>
      </c>
      <c r="AA8" s="57" t="s">
        <v>134</v>
      </c>
    </row>
    <row r="9" spans="1:27" ht="12.75" customHeight="1">
      <c r="A9" s="8"/>
      <c r="B9" s="9" t="s">
        <v>45</v>
      </c>
      <c r="C9" s="305">
        <v>1553</v>
      </c>
      <c r="D9" s="306">
        <v>1510</v>
      </c>
      <c r="E9" s="306">
        <v>1515</v>
      </c>
      <c r="F9" s="306">
        <v>1540</v>
      </c>
      <c r="G9" s="247">
        <v>1540</v>
      </c>
      <c r="H9" s="247">
        <v>1540</v>
      </c>
      <c r="I9" s="306">
        <v>1534</v>
      </c>
      <c r="J9" s="306">
        <v>1534</v>
      </c>
      <c r="K9" s="306">
        <v>1534</v>
      </c>
      <c r="L9" s="306">
        <v>1527</v>
      </c>
      <c r="M9" s="306">
        <v>1527</v>
      </c>
      <c r="N9" s="306">
        <v>1516</v>
      </c>
      <c r="O9" s="306">
        <v>1516</v>
      </c>
      <c r="P9" s="306">
        <v>1516</v>
      </c>
      <c r="Q9" s="306">
        <v>1516</v>
      </c>
      <c r="R9" s="306">
        <v>1516</v>
      </c>
      <c r="S9" s="306">
        <v>1516</v>
      </c>
      <c r="T9" s="247">
        <v>1516</v>
      </c>
      <c r="U9" s="247">
        <v>1516</v>
      </c>
      <c r="V9" s="247">
        <v>1516</v>
      </c>
      <c r="W9" s="247">
        <v>1516</v>
      </c>
      <c r="X9" s="247">
        <v>1516</v>
      </c>
      <c r="Y9" s="247">
        <v>1516</v>
      </c>
      <c r="Z9" s="247">
        <v>1516</v>
      </c>
      <c r="AA9" s="9" t="s">
        <v>45</v>
      </c>
    </row>
    <row r="10" spans="1:27" ht="12.75" customHeight="1">
      <c r="A10" s="8"/>
      <c r="B10" s="54" t="s">
        <v>28</v>
      </c>
      <c r="C10" s="302"/>
      <c r="D10" s="240"/>
      <c r="E10" s="240">
        <v>470</v>
      </c>
      <c r="F10" s="240">
        <v>470</v>
      </c>
      <c r="G10" s="240">
        <v>470</v>
      </c>
      <c r="H10" s="240">
        <v>470</v>
      </c>
      <c r="I10" s="240">
        <v>470</v>
      </c>
      <c r="J10" s="240">
        <v>470</v>
      </c>
      <c r="K10" s="240">
        <v>470</v>
      </c>
      <c r="L10" s="240">
        <v>470</v>
      </c>
      <c r="M10" s="240">
        <v>470</v>
      </c>
      <c r="N10" s="240">
        <v>470</v>
      </c>
      <c r="O10" s="240">
        <v>470</v>
      </c>
      <c r="P10" s="240">
        <v>470</v>
      </c>
      <c r="Q10" s="240">
        <v>470</v>
      </c>
      <c r="R10" s="240">
        <v>470</v>
      </c>
      <c r="S10" s="240">
        <v>470</v>
      </c>
      <c r="T10" s="240">
        <v>470</v>
      </c>
      <c r="U10" s="240">
        <v>470</v>
      </c>
      <c r="V10" s="240">
        <v>470</v>
      </c>
      <c r="W10" s="240">
        <v>470</v>
      </c>
      <c r="X10" s="240">
        <v>470</v>
      </c>
      <c r="Y10" s="240">
        <v>470</v>
      </c>
      <c r="Z10" s="240">
        <v>470</v>
      </c>
      <c r="AA10" s="54" t="s">
        <v>28</v>
      </c>
    </row>
    <row r="11" spans="1:27" ht="12.75" customHeight="1">
      <c r="A11" s="8"/>
      <c r="B11" s="10" t="s">
        <v>30</v>
      </c>
      <c r="C11" s="309"/>
      <c r="D11" s="342"/>
      <c r="E11" s="342"/>
      <c r="F11" s="306">
        <v>677</v>
      </c>
      <c r="G11" s="306">
        <v>677</v>
      </c>
      <c r="H11" s="306">
        <v>677</v>
      </c>
      <c r="I11" s="306">
        <v>664</v>
      </c>
      <c r="J11" s="306">
        <v>664</v>
      </c>
      <c r="K11" s="306">
        <v>664</v>
      </c>
      <c r="L11" s="306">
        <v>664</v>
      </c>
      <c r="M11" s="306">
        <v>664</v>
      </c>
      <c r="N11" s="306">
        <v>664</v>
      </c>
      <c r="O11" s="306">
        <v>664</v>
      </c>
      <c r="P11" s="306">
        <v>664</v>
      </c>
      <c r="Q11" s="306">
        <v>664</v>
      </c>
      <c r="R11" s="306">
        <v>664</v>
      </c>
      <c r="S11" s="306">
        <v>664</v>
      </c>
      <c r="T11" s="306">
        <v>676</v>
      </c>
      <c r="U11" s="306">
        <v>676</v>
      </c>
      <c r="V11" s="306">
        <v>676</v>
      </c>
      <c r="W11" s="306">
        <v>676</v>
      </c>
      <c r="X11" s="306">
        <v>686.8</v>
      </c>
      <c r="Y11" s="306">
        <v>687</v>
      </c>
      <c r="Z11" s="306">
        <v>720</v>
      </c>
      <c r="AA11" s="10" t="s">
        <v>30</v>
      </c>
    </row>
    <row r="12" spans="1:27" ht="12.75" customHeight="1">
      <c r="A12" s="8"/>
      <c r="B12" s="54" t="s">
        <v>41</v>
      </c>
      <c r="C12" s="302" t="s">
        <v>59</v>
      </c>
      <c r="D12" s="240" t="s">
        <v>59</v>
      </c>
      <c r="E12" s="240" t="s">
        <v>59</v>
      </c>
      <c r="F12" s="240" t="s">
        <v>59</v>
      </c>
      <c r="G12" s="240" t="s">
        <v>59</v>
      </c>
      <c r="H12" s="240" t="s">
        <v>59</v>
      </c>
      <c r="I12" s="240" t="s">
        <v>59</v>
      </c>
      <c r="J12" s="240" t="s">
        <v>59</v>
      </c>
      <c r="K12" s="240" t="s">
        <v>59</v>
      </c>
      <c r="L12" s="240" t="s">
        <v>59</v>
      </c>
      <c r="M12" s="240" t="s">
        <v>59</v>
      </c>
      <c r="N12" s="240" t="s">
        <v>59</v>
      </c>
      <c r="O12" s="240" t="s">
        <v>59</v>
      </c>
      <c r="P12" s="240" t="s">
        <v>59</v>
      </c>
      <c r="Q12" s="240" t="s">
        <v>59</v>
      </c>
      <c r="R12" s="240" t="s">
        <v>59</v>
      </c>
      <c r="S12" s="240" t="s">
        <v>59</v>
      </c>
      <c r="T12" s="240" t="s">
        <v>59</v>
      </c>
      <c r="U12" s="240" t="s">
        <v>59</v>
      </c>
      <c r="V12" s="240" t="s">
        <v>59</v>
      </c>
      <c r="W12" s="240" t="s">
        <v>59</v>
      </c>
      <c r="X12" s="240" t="s">
        <v>59</v>
      </c>
      <c r="Y12" s="240" t="s">
        <v>59</v>
      </c>
      <c r="Z12" s="240" t="s">
        <v>59</v>
      </c>
      <c r="AA12" s="54" t="s">
        <v>41</v>
      </c>
    </row>
    <row r="13" spans="1:27" ht="12.75" customHeight="1">
      <c r="A13" s="8"/>
      <c r="B13" s="10" t="s">
        <v>46</v>
      </c>
      <c r="C13" s="305">
        <v>6808</v>
      </c>
      <c r="D13" s="306">
        <v>6697</v>
      </c>
      <c r="E13" s="370">
        <v>4350</v>
      </c>
      <c r="F13" s="306">
        <v>6663</v>
      </c>
      <c r="G13" s="306">
        <v>6760</v>
      </c>
      <c r="H13" s="306">
        <v>6673</v>
      </c>
      <c r="I13" s="306">
        <v>6740</v>
      </c>
      <c r="J13" s="306">
        <v>6754</v>
      </c>
      <c r="K13" s="306">
        <v>6754</v>
      </c>
      <c r="L13" s="306">
        <v>6687</v>
      </c>
      <c r="M13" s="306">
        <v>6642</v>
      </c>
      <c r="N13" s="306">
        <v>6636</v>
      </c>
      <c r="O13" s="306">
        <v>7565</v>
      </c>
      <c r="P13" s="306">
        <v>7565</v>
      </c>
      <c r="Q13" s="306">
        <v>7565</v>
      </c>
      <c r="R13" s="306">
        <v>7565</v>
      </c>
      <c r="S13" s="306">
        <v>7565</v>
      </c>
      <c r="T13" s="306">
        <v>7565</v>
      </c>
      <c r="U13" s="306">
        <v>7728</v>
      </c>
      <c r="V13" s="306">
        <v>7728</v>
      </c>
      <c r="W13" s="306">
        <v>7675</v>
      </c>
      <c r="X13" s="306">
        <v>7675</v>
      </c>
      <c r="Y13" s="306">
        <v>7675</v>
      </c>
      <c r="Z13" s="306">
        <v>7675</v>
      </c>
      <c r="AA13" s="10" t="s">
        <v>46</v>
      </c>
    </row>
    <row r="14" spans="1:27" ht="12.75" customHeight="1">
      <c r="A14" s="8"/>
      <c r="B14" s="54" t="s">
        <v>31</v>
      </c>
      <c r="C14" s="302"/>
      <c r="D14" s="240"/>
      <c r="E14" s="240"/>
      <c r="F14" s="240">
        <v>520</v>
      </c>
      <c r="G14" s="240">
        <v>520</v>
      </c>
      <c r="H14" s="240">
        <v>320</v>
      </c>
      <c r="I14" s="240">
        <v>320</v>
      </c>
      <c r="J14" s="240">
        <v>320</v>
      </c>
      <c r="K14" s="240">
        <v>320</v>
      </c>
      <c r="L14" s="240">
        <v>320</v>
      </c>
      <c r="M14" s="240">
        <v>320</v>
      </c>
      <c r="N14" s="240">
        <v>320</v>
      </c>
      <c r="O14" s="240">
        <v>320</v>
      </c>
      <c r="P14" s="240">
        <v>320</v>
      </c>
      <c r="Q14" s="240">
        <v>320</v>
      </c>
      <c r="R14" s="240">
        <v>320</v>
      </c>
      <c r="S14" s="240">
        <v>335</v>
      </c>
      <c r="T14" s="240">
        <v>335</v>
      </c>
      <c r="U14" s="240">
        <v>335</v>
      </c>
      <c r="V14" s="240">
        <v>335</v>
      </c>
      <c r="W14" s="240">
        <v>335</v>
      </c>
      <c r="X14" s="240">
        <v>399</v>
      </c>
      <c r="Y14" s="240">
        <v>416</v>
      </c>
      <c r="Z14" s="240">
        <v>416</v>
      </c>
      <c r="AA14" s="54" t="s">
        <v>31</v>
      </c>
    </row>
    <row r="15" spans="1:27" ht="12.75" customHeight="1">
      <c r="A15" s="8"/>
      <c r="B15" s="10" t="s">
        <v>49</v>
      </c>
      <c r="C15" s="305" t="s">
        <v>59</v>
      </c>
      <c r="D15" s="306" t="s">
        <v>59</v>
      </c>
      <c r="E15" s="306" t="s">
        <v>59</v>
      </c>
      <c r="F15" s="306" t="s">
        <v>59</v>
      </c>
      <c r="G15" s="306" t="s">
        <v>59</v>
      </c>
      <c r="H15" s="306" t="s">
        <v>59</v>
      </c>
      <c r="I15" s="306" t="s">
        <v>59</v>
      </c>
      <c r="J15" s="306" t="s">
        <v>59</v>
      </c>
      <c r="K15" s="306" t="s">
        <v>59</v>
      </c>
      <c r="L15" s="306" t="s">
        <v>59</v>
      </c>
      <c r="M15" s="306" t="s">
        <v>59</v>
      </c>
      <c r="N15" s="306" t="s">
        <v>59</v>
      </c>
      <c r="O15" s="306" t="s">
        <v>59</v>
      </c>
      <c r="P15" s="306" t="s">
        <v>59</v>
      </c>
      <c r="Q15" s="306" t="s">
        <v>59</v>
      </c>
      <c r="R15" s="306" t="s">
        <v>59</v>
      </c>
      <c r="S15" s="306" t="s">
        <v>59</v>
      </c>
      <c r="T15" s="306" t="s">
        <v>59</v>
      </c>
      <c r="U15" s="306" t="s">
        <v>59</v>
      </c>
      <c r="V15" s="306" t="s">
        <v>59</v>
      </c>
      <c r="W15" s="306" t="s">
        <v>59</v>
      </c>
      <c r="X15" s="306" t="s">
        <v>59</v>
      </c>
      <c r="Y15" s="306" t="s">
        <v>59</v>
      </c>
      <c r="Z15" s="306" t="s">
        <v>59</v>
      </c>
      <c r="AA15" s="10" t="s">
        <v>49</v>
      </c>
    </row>
    <row r="16" spans="1:27" ht="12.75" customHeight="1">
      <c r="A16" s="8"/>
      <c r="B16" s="54" t="s">
        <v>42</v>
      </c>
      <c r="C16" s="240" t="s">
        <v>59</v>
      </c>
      <c r="D16" s="240" t="s">
        <v>59</v>
      </c>
      <c r="E16" s="240" t="s">
        <v>59</v>
      </c>
      <c r="F16" s="240" t="s">
        <v>59</v>
      </c>
      <c r="G16" s="240" t="s">
        <v>59</v>
      </c>
      <c r="H16" s="240" t="s">
        <v>59</v>
      </c>
      <c r="I16" s="240" t="s">
        <v>59</v>
      </c>
      <c r="J16" s="240" t="s">
        <v>59</v>
      </c>
      <c r="K16" s="240" t="s">
        <v>59</v>
      </c>
      <c r="L16" s="240" t="s">
        <v>59</v>
      </c>
      <c r="M16" s="240" t="s">
        <v>59</v>
      </c>
      <c r="N16" s="240" t="s">
        <v>59</v>
      </c>
      <c r="O16" s="240" t="s">
        <v>59</v>
      </c>
      <c r="P16" s="240" t="s">
        <v>59</v>
      </c>
      <c r="Q16" s="240" t="s">
        <v>59</v>
      </c>
      <c r="R16" s="240" t="s">
        <v>59</v>
      </c>
      <c r="S16" s="240" t="s">
        <v>59</v>
      </c>
      <c r="T16" s="240" t="s">
        <v>59</v>
      </c>
      <c r="U16" s="240" t="s">
        <v>59</v>
      </c>
      <c r="V16" s="240" t="s">
        <v>59</v>
      </c>
      <c r="W16" s="240" t="s">
        <v>59</v>
      </c>
      <c r="X16" s="240" t="s">
        <v>59</v>
      </c>
      <c r="Y16" s="240" t="s">
        <v>59</v>
      </c>
      <c r="Z16" s="240" t="s">
        <v>59</v>
      </c>
      <c r="AA16" s="54" t="s">
        <v>42</v>
      </c>
    </row>
    <row r="17" spans="1:27" ht="12.75" customHeight="1">
      <c r="A17" s="8"/>
      <c r="B17" s="10" t="s">
        <v>47</v>
      </c>
      <c r="C17" s="305"/>
      <c r="D17" s="306"/>
      <c r="E17" s="306" t="s">
        <v>59</v>
      </c>
      <c r="F17" s="306" t="s">
        <v>59</v>
      </c>
      <c r="G17" s="306" t="s">
        <v>59</v>
      </c>
      <c r="H17" s="306" t="s">
        <v>59</v>
      </c>
      <c r="I17" s="306" t="s">
        <v>59</v>
      </c>
      <c r="J17" s="306" t="s">
        <v>59</v>
      </c>
      <c r="K17" s="306" t="s">
        <v>59</v>
      </c>
      <c r="L17" s="306" t="s">
        <v>59</v>
      </c>
      <c r="M17" s="306" t="s">
        <v>59</v>
      </c>
      <c r="N17" s="306" t="s">
        <v>59</v>
      </c>
      <c r="O17" s="306" t="s">
        <v>59</v>
      </c>
      <c r="P17" s="306" t="s">
        <v>59</v>
      </c>
      <c r="Q17" s="306" t="s">
        <v>59</v>
      </c>
      <c r="R17" s="306" t="s">
        <v>59</v>
      </c>
      <c r="S17" s="306" t="s">
        <v>59</v>
      </c>
      <c r="T17" s="306" t="s">
        <v>59</v>
      </c>
      <c r="U17" s="306" t="s">
        <v>59</v>
      </c>
      <c r="V17" s="306" t="s">
        <v>59</v>
      </c>
      <c r="W17" s="306" t="s">
        <v>59</v>
      </c>
      <c r="X17" s="306" t="s">
        <v>59</v>
      </c>
      <c r="Y17" s="306" t="s">
        <v>59</v>
      </c>
      <c r="Z17" s="306" t="s">
        <v>59</v>
      </c>
      <c r="AA17" s="10" t="s">
        <v>47</v>
      </c>
    </row>
    <row r="18" spans="1:27" ht="12.75" customHeight="1">
      <c r="A18" s="8"/>
      <c r="B18" s="54" t="s">
        <v>48</v>
      </c>
      <c r="C18" s="302">
        <v>7433</v>
      </c>
      <c r="D18" s="240">
        <v>6568</v>
      </c>
      <c r="E18" s="240">
        <v>6197</v>
      </c>
      <c r="F18" s="240">
        <v>5962</v>
      </c>
      <c r="G18" s="240">
        <v>5678</v>
      </c>
      <c r="H18" s="240">
        <v>6051</v>
      </c>
      <c r="I18" s="240">
        <v>5732</v>
      </c>
      <c r="J18" s="240">
        <v>5576</v>
      </c>
      <c r="K18" s="240">
        <v>5789</v>
      </c>
      <c r="L18" s="240">
        <v>5378</v>
      </c>
      <c r="M18" s="240">
        <v>5637</v>
      </c>
      <c r="N18" s="240">
        <v>5384</v>
      </c>
      <c r="O18" s="240">
        <v>5372</v>
      </c>
      <c r="P18" s="240">
        <v>5788</v>
      </c>
      <c r="Q18" s="240">
        <v>5497</v>
      </c>
      <c r="R18" s="240">
        <v>5444</v>
      </c>
      <c r="S18" s="240">
        <v>5200</v>
      </c>
      <c r="T18" s="240">
        <v>5132</v>
      </c>
      <c r="U18" s="240">
        <v>5110</v>
      </c>
      <c r="V18" s="240">
        <v>5019</v>
      </c>
      <c r="W18" s="240">
        <v>4996</v>
      </c>
      <c r="X18" s="240">
        <v>5064</v>
      </c>
      <c r="Y18" s="240">
        <v>4718</v>
      </c>
      <c r="Z18" s="240">
        <v>4822</v>
      </c>
      <c r="AA18" s="54" t="s">
        <v>48</v>
      </c>
    </row>
    <row r="19" spans="1:27" ht="12.75" customHeight="1">
      <c r="A19" s="8"/>
      <c r="B19" s="10" t="s">
        <v>60</v>
      </c>
      <c r="C19" s="305"/>
      <c r="D19" s="306"/>
      <c r="E19" s="306">
        <v>933</v>
      </c>
      <c r="F19" s="306">
        <v>933</v>
      </c>
      <c r="G19" s="306">
        <v>933</v>
      </c>
      <c r="H19" s="306">
        <v>933</v>
      </c>
      <c r="I19" s="306">
        <v>720.1</v>
      </c>
      <c r="J19" s="306">
        <v>720.1</v>
      </c>
      <c r="K19" s="306">
        <v>720.1</v>
      </c>
      <c r="L19" s="306">
        <v>720.1</v>
      </c>
      <c r="M19" s="306">
        <v>720.1</v>
      </c>
      <c r="N19" s="306">
        <v>720.1</v>
      </c>
      <c r="O19" s="306">
        <v>804.1</v>
      </c>
      <c r="P19" s="306">
        <v>804.1</v>
      </c>
      <c r="Q19" s="306">
        <v>804.1</v>
      </c>
      <c r="R19" s="306">
        <v>804.1</v>
      </c>
      <c r="S19" s="306">
        <v>804.1</v>
      </c>
      <c r="T19" s="306">
        <v>804.1</v>
      </c>
      <c r="U19" s="306">
        <v>805.2</v>
      </c>
      <c r="V19" s="306">
        <v>1016.8</v>
      </c>
      <c r="W19" s="306">
        <v>1016.8</v>
      </c>
      <c r="X19" s="306">
        <v>1016.9</v>
      </c>
      <c r="Y19" s="306">
        <v>1016.9</v>
      </c>
      <c r="Z19" s="306">
        <v>1016.9</v>
      </c>
      <c r="AA19" s="10" t="s">
        <v>60</v>
      </c>
    </row>
    <row r="20" spans="1:27" ht="12.75" customHeight="1">
      <c r="A20" s="8"/>
      <c r="B20" s="224" t="s">
        <v>50</v>
      </c>
      <c r="C20" s="308">
        <v>2337</v>
      </c>
      <c r="D20" s="249">
        <v>2337</v>
      </c>
      <c r="E20" s="249">
        <v>1366</v>
      </c>
      <c r="F20" s="249">
        <v>1466</v>
      </c>
      <c r="G20" s="249">
        <v>1466</v>
      </c>
      <c r="H20" s="249">
        <v>1463</v>
      </c>
      <c r="I20" s="249">
        <v>1477</v>
      </c>
      <c r="J20" s="249">
        <v>1477</v>
      </c>
      <c r="K20" s="249">
        <v>1477</v>
      </c>
      <c r="L20" s="249">
        <v>1477</v>
      </c>
      <c r="M20" s="249">
        <v>1477</v>
      </c>
      <c r="N20" s="249">
        <v>1562</v>
      </c>
      <c r="O20" s="249">
        <v>1562</v>
      </c>
      <c r="P20" s="249">
        <v>1562</v>
      </c>
      <c r="Q20" s="249">
        <v>1562</v>
      </c>
      <c r="R20" s="249">
        <v>1562</v>
      </c>
      <c r="S20" s="249">
        <v>1562</v>
      </c>
      <c r="T20" s="249">
        <v>1562</v>
      </c>
      <c r="U20" s="249">
        <v>1562</v>
      </c>
      <c r="V20" s="249">
        <v>1562</v>
      </c>
      <c r="W20" s="249">
        <v>1562</v>
      </c>
      <c r="X20" s="249">
        <v>1562</v>
      </c>
      <c r="Y20" s="249">
        <v>1562</v>
      </c>
      <c r="Z20" s="289">
        <v>1562</v>
      </c>
      <c r="AA20" s="224" t="s">
        <v>50</v>
      </c>
    </row>
    <row r="21" spans="1:27" ht="12.75" customHeight="1">
      <c r="A21" s="8"/>
      <c r="B21" s="10" t="s">
        <v>29</v>
      </c>
      <c r="C21" s="305" t="s">
        <v>59</v>
      </c>
      <c r="D21" s="306" t="s">
        <v>59</v>
      </c>
      <c r="E21" s="306" t="s">
        <v>59</v>
      </c>
      <c r="F21" s="306" t="s">
        <v>59</v>
      </c>
      <c r="G21" s="306" t="s">
        <v>59</v>
      </c>
      <c r="H21" s="306" t="s">
        <v>59</v>
      </c>
      <c r="I21" s="306" t="s">
        <v>59</v>
      </c>
      <c r="J21" s="306" t="s">
        <v>59</v>
      </c>
      <c r="K21" s="306" t="s">
        <v>59</v>
      </c>
      <c r="L21" s="306" t="s">
        <v>59</v>
      </c>
      <c r="M21" s="306" t="s">
        <v>59</v>
      </c>
      <c r="N21" s="306" t="s">
        <v>59</v>
      </c>
      <c r="O21" s="306" t="s">
        <v>59</v>
      </c>
      <c r="P21" s="306" t="s">
        <v>59</v>
      </c>
      <c r="Q21" s="306" t="s">
        <v>59</v>
      </c>
      <c r="R21" s="306" t="s">
        <v>59</v>
      </c>
      <c r="S21" s="306" t="s">
        <v>59</v>
      </c>
      <c r="T21" s="306" t="s">
        <v>59</v>
      </c>
      <c r="U21" s="306" t="s">
        <v>59</v>
      </c>
      <c r="V21" s="306" t="s">
        <v>59</v>
      </c>
      <c r="W21" s="306" t="s">
        <v>59</v>
      </c>
      <c r="X21" s="306" t="s">
        <v>59</v>
      </c>
      <c r="Y21" s="306" t="s">
        <v>59</v>
      </c>
      <c r="Z21" s="306" t="s">
        <v>59</v>
      </c>
      <c r="AA21" s="10" t="s">
        <v>29</v>
      </c>
    </row>
    <row r="22" spans="1:27" ht="12.75" customHeight="1">
      <c r="A22" s="8"/>
      <c r="B22" s="224" t="s">
        <v>33</v>
      </c>
      <c r="C22" s="308"/>
      <c r="D22" s="249"/>
      <c r="E22" s="249" t="s">
        <v>59</v>
      </c>
      <c r="F22" s="249" t="s">
        <v>59</v>
      </c>
      <c r="G22" s="249" t="s">
        <v>59</v>
      </c>
      <c r="H22" s="249" t="s">
        <v>59</v>
      </c>
      <c r="I22" s="249" t="s">
        <v>59</v>
      </c>
      <c r="J22" s="249" t="s">
        <v>59</v>
      </c>
      <c r="K22" s="249" t="s">
        <v>59</v>
      </c>
      <c r="L22" s="249" t="s">
        <v>59</v>
      </c>
      <c r="M22" s="249" t="s">
        <v>59</v>
      </c>
      <c r="N22" s="249" t="s">
        <v>59</v>
      </c>
      <c r="O22" s="249" t="s">
        <v>59</v>
      </c>
      <c r="P22" s="249" t="s">
        <v>59</v>
      </c>
      <c r="Q22" s="249" t="s">
        <v>59</v>
      </c>
      <c r="R22" s="249" t="s">
        <v>59</v>
      </c>
      <c r="S22" s="249" t="s">
        <v>59</v>
      </c>
      <c r="T22" s="249" t="s">
        <v>59</v>
      </c>
      <c r="U22" s="249" t="s">
        <v>59</v>
      </c>
      <c r="V22" s="249" t="s">
        <v>59</v>
      </c>
      <c r="W22" s="249" t="s">
        <v>59</v>
      </c>
      <c r="X22" s="249" t="s">
        <v>59</v>
      </c>
      <c r="Y22" s="249" t="s">
        <v>59</v>
      </c>
      <c r="Z22" s="249" t="s">
        <v>59</v>
      </c>
      <c r="AA22" s="224" t="s">
        <v>33</v>
      </c>
    </row>
    <row r="23" spans="1:27" ht="12.75" customHeight="1">
      <c r="A23" s="8"/>
      <c r="B23" s="10" t="s">
        <v>34</v>
      </c>
      <c r="C23" s="305"/>
      <c r="D23" s="306"/>
      <c r="E23" s="306">
        <v>369</v>
      </c>
      <c r="F23" s="306">
        <v>369</v>
      </c>
      <c r="G23" s="306">
        <v>369</v>
      </c>
      <c r="H23" s="306">
        <v>369</v>
      </c>
      <c r="I23" s="306">
        <v>369</v>
      </c>
      <c r="J23" s="306">
        <v>369</v>
      </c>
      <c r="K23" s="306">
        <v>379.7</v>
      </c>
      <c r="L23" s="306">
        <v>281</v>
      </c>
      <c r="M23" s="306">
        <v>281</v>
      </c>
      <c r="N23" s="306">
        <v>290</v>
      </c>
      <c r="O23" s="306">
        <v>290</v>
      </c>
      <c r="P23" s="306">
        <v>290</v>
      </c>
      <c r="Q23" s="306">
        <v>441</v>
      </c>
      <c r="R23" s="306">
        <v>441</v>
      </c>
      <c r="S23" s="306">
        <v>441</v>
      </c>
      <c r="T23" s="306">
        <v>448</v>
      </c>
      <c r="U23" s="306">
        <v>448</v>
      </c>
      <c r="V23" s="306">
        <v>452</v>
      </c>
      <c r="W23" s="306">
        <v>452</v>
      </c>
      <c r="X23" s="306">
        <v>452</v>
      </c>
      <c r="Y23" s="306">
        <v>452</v>
      </c>
      <c r="Z23" s="306">
        <v>446</v>
      </c>
      <c r="AA23" s="10" t="s">
        <v>34</v>
      </c>
    </row>
    <row r="24" spans="1:27" ht="12.75" customHeight="1">
      <c r="A24" s="8"/>
      <c r="B24" s="224" t="s">
        <v>51</v>
      </c>
      <c r="C24" s="308">
        <v>37</v>
      </c>
      <c r="D24" s="249">
        <v>37</v>
      </c>
      <c r="E24" s="249">
        <v>37</v>
      </c>
      <c r="F24" s="249">
        <v>37</v>
      </c>
      <c r="G24" s="249">
        <v>37</v>
      </c>
      <c r="H24" s="249">
        <v>37</v>
      </c>
      <c r="I24" s="249">
        <v>37</v>
      </c>
      <c r="J24" s="249">
        <v>37</v>
      </c>
      <c r="K24" s="249">
        <v>37</v>
      </c>
      <c r="L24" s="249">
        <v>37</v>
      </c>
      <c r="M24" s="249">
        <v>37</v>
      </c>
      <c r="N24" s="249">
        <v>37</v>
      </c>
      <c r="O24" s="249">
        <v>37</v>
      </c>
      <c r="P24" s="249">
        <v>37</v>
      </c>
      <c r="Q24" s="249">
        <v>37</v>
      </c>
      <c r="R24" s="249">
        <v>37</v>
      </c>
      <c r="S24" s="249">
        <v>37</v>
      </c>
      <c r="T24" s="249">
        <v>37</v>
      </c>
      <c r="U24" s="289">
        <v>37</v>
      </c>
      <c r="V24" s="289">
        <v>37</v>
      </c>
      <c r="W24" s="289">
        <v>37</v>
      </c>
      <c r="X24" s="289">
        <v>37</v>
      </c>
      <c r="Y24" s="289">
        <v>37</v>
      </c>
      <c r="Z24" s="289">
        <v>37</v>
      </c>
      <c r="AA24" s="224" t="s">
        <v>51</v>
      </c>
    </row>
    <row r="25" spans="1:27" ht="12.75" customHeight="1">
      <c r="A25" s="8"/>
      <c r="B25" s="10" t="s">
        <v>32</v>
      </c>
      <c r="C25" s="305"/>
      <c r="D25" s="306"/>
      <c r="E25" s="306">
        <v>1373</v>
      </c>
      <c r="F25" s="306">
        <v>1373</v>
      </c>
      <c r="G25" s="306">
        <v>1373</v>
      </c>
      <c r="H25" s="306">
        <v>1373</v>
      </c>
      <c r="I25" s="306">
        <v>1373</v>
      </c>
      <c r="J25" s="306">
        <v>1373</v>
      </c>
      <c r="K25" s="306">
        <v>1373</v>
      </c>
      <c r="L25" s="306">
        <v>1484</v>
      </c>
      <c r="M25" s="306">
        <v>1440</v>
      </c>
      <c r="N25" s="306">
        <v>1440</v>
      </c>
      <c r="O25" s="306">
        <v>1439</v>
      </c>
      <c r="P25" s="306">
        <v>1587</v>
      </c>
      <c r="Q25" s="306">
        <v>1587</v>
      </c>
      <c r="R25" s="306">
        <v>1587</v>
      </c>
      <c r="S25" s="306">
        <v>1587</v>
      </c>
      <c r="T25" s="306">
        <v>1587</v>
      </c>
      <c r="U25" s="306">
        <v>1864.2</v>
      </c>
      <c r="V25" s="306">
        <v>1864.2</v>
      </c>
      <c r="W25" s="306">
        <v>1864.2</v>
      </c>
      <c r="X25" s="306">
        <v>1864</v>
      </c>
      <c r="Y25" s="306">
        <v>1864.1</v>
      </c>
      <c r="Z25" s="306">
        <v>1864.2</v>
      </c>
      <c r="AA25" s="10" t="s">
        <v>32</v>
      </c>
    </row>
    <row r="26" spans="1:27" ht="12.75" customHeight="1">
      <c r="A26" s="8"/>
      <c r="B26" s="224" t="s">
        <v>35</v>
      </c>
      <c r="C26" s="308" t="s">
        <v>59</v>
      </c>
      <c r="D26" s="249" t="s">
        <v>59</v>
      </c>
      <c r="E26" s="249" t="s">
        <v>59</v>
      </c>
      <c r="F26" s="249" t="s">
        <v>59</v>
      </c>
      <c r="G26" s="249" t="s">
        <v>59</v>
      </c>
      <c r="H26" s="249" t="s">
        <v>59</v>
      </c>
      <c r="I26" s="249" t="s">
        <v>59</v>
      </c>
      <c r="J26" s="249" t="s">
        <v>59</v>
      </c>
      <c r="K26" s="249" t="s">
        <v>59</v>
      </c>
      <c r="L26" s="249" t="s">
        <v>59</v>
      </c>
      <c r="M26" s="249" t="s">
        <v>59</v>
      </c>
      <c r="N26" s="249" t="s">
        <v>59</v>
      </c>
      <c r="O26" s="249" t="s">
        <v>59</v>
      </c>
      <c r="P26" s="249" t="s">
        <v>59</v>
      </c>
      <c r="Q26" s="249" t="s">
        <v>59</v>
      </c>
      <c r="R26" s="249" t="s">
        <v>59</v>
      </c>
      <c r="S26" s="249" t="s">
        <v>59</v>
      </c>
      <c r="T26" s="249" t="s">
        <v>59</v>
      </c>
      <c r="U26" s="249" t="s">
        <v>59</v>
      </c>
      <c r="V26" s="249" t="s">
        <v>59</v>
      </c>
      <c r="W26" s="249" t="s">
        <v>59</v>
      </c>
      <c r="X26" s="249" t="s">
        <v>59</v>
      </c>
      <c r="Y26" s="249" t="s">
        <v>59</v>
      </c>
      <c r="Z26" s="249" t="s">
        <v>59</v>
      </c>
      <c r="AA26" s="224" t="s">
        <v>35</v>
      </c>
    </row>
    <row r="27" spans="1:27" ht="12.75" customHeight="1">
      <c r="A27" s="8"/>
      <c r="B27" s="10" t="s">
        <v>43</v>
      </c>
      <c r="C27" s="305">
        <v>5599</v>
      </c>
      <c r="D27" s="306">
        <v>4843</v>
      </c>
      <c r="E27" s="306">
        <v>5046</v>
      </c>
      <c r="F27" s="306">
        <v>5046</v>
      </c>
      <c r="G27" s="306">
        <v>5046</v>
      </c>
      <c r="H27" s="306">
        <v>5046</v>
      </c>
      <c r="I27" s="306">
        <v>5046</v>
      </c>
      <c r="J27" s="247">
        <v>5046</v>
      </c>
      <c r="K27" s="247">
        <v>6183</v>
      </c>
      <c r="L27" s="247">
        <v>6183</v>
      </c>
      <c r="M27" s="247">
        <v>6183</v>
      </c>
      <c r="N27" s="247">
        <v>6183</v>
      </c>
      <c r="O27" s="306">
        <v>6183</v>
      </c>
      <c r="P27" s="306">
        <v>6211</v>
      </c>
      <c r="Q27" s="306">
        <v>6215</v>
      </c>
      <c r="R27" s="306">
        <v>6215</v>
      </c>
      <c r="S27" s="306">
        <v>6214</v>
      </c>
      <c r="T27" s="306">
        <v>6220</v>
      </c>
      <c r="U27" s="306">
        <v>6219</v>
      </c>
      <c r="V27" s="306">
        <v>6237</v>
      </c>
      <c r="W27" s="306">
        <v>6242</v>
      </c>
      <c r="X27" s="306">
        <v>6251</v>
      </c>
      <c r="Y27" s="306">
        <v>6261</v>
      </c>
      <c r="Z27" s="306">
        <v>6256</v>
      </c>
      <c r="AA27" s="10" t="s">
        <v>43</v>
      </c>
    </row>
    <row r="28" spans="1:27" ht="12.75" customHeight="1">
      <c r="A28" s="8"/>
      <c r="B28" s="224" t="s">
        <v>52</v>
      </c>
      <c r="C28" s="308">
        <v>350</v>
      </c>
      <c r="D28" s="249">
        <v>350</v>
      </c>
      <c r="E28" s="249">
        <v>351</v>
      </c>
      <c r="F28" s="249">
        <v>351</v>
      </c>
      <c r="G28" s="249">
        <v>351</v>
      </c>
      <c r="H28" s="249">
        <v>351</v>
      </c>
      <c r="I28" s="249">
        <v>351</v>
      </c>
      <c r="J28" s="249">
        <v>351</v>
      </c>
      <c r="K28" s="249">
        <v>351</v>
      </c>
      <c r="L28" s="249">
        <v>351</v>
      </c>
      <c r="M28" s="249">
        <v>351</v>
      </c>
      <c r="N28" s="249">
        <v>351</v>
      </c>
      <c r="O28" s="249">
        <v>351</v>
      </c>
      <c r="P28" s="249">
        <v>351</v>
      </c>
      <c r="Q28" s="249">
        <v>351</v>
      </c>
      <c r="R28" s="249">
        <v>351</v>
      </c>
      <c r="S28" s="249">
        <v>351</v>
      </c>
      <c r="T28" s="249">
        <v>351</v>
      </c>
      <c r="U28" s="249">
        <v>351</v>
      </c>
      <c r="V28" s="249">
        <v>351</v>
      </c>
      <c r="W28" s="249">
        <v>351</v>
      </c>
      <c r="X28" s="249">
        <v>351</v>
      </c>
      <c r="Y28" s="249">
        <v>351</v>
      </c>
      <c r="Z28" s="249">
        <v>351</v>
      </c>
      <c r="AA28" s="224" t="s">
        <v>52</v>
      </c>
    </row>
    <row r="29" spans="1:27" ht="12.75" customHeight="1">
      <c r="A29" s="8"/>
      <c r="B29" s="10" t="s">
        <v>36</v>
      </c>
      <c r="C29" s="305"/>
      <c r="D29" s="306"/>
      <c r="E29" s="306">
        <v>3997</v>
      </c>
      <c r="F29" s="306">
        <v>3980</v>
      </c>
      <c r="G29" s="306">
        <v>3812</v>
      </c>
      <c r="H29" s="306">
        <v>3812</v>
      </c>
      <c r="I29" s="306">
        <v>3812</v>
      </c>
      <c r="J29" s="306">
        <v>3813</v>
      </c>
      <c r="K29" s="306">
        <v>3813</v>
      </c>
      <c r="L29" s="306">
        <v>3812</v>
      </c>
      <c r="M29" s="306">
        <v>3640</v>
      </c>
      <c r="N29" s="306">
        <v>3643</v>
      </c>
      <c r="O29" s="306">
        <v>3638</v>
      </c>
      <c r="P29" s="306">
        <v>3638</v>
      </c>
      <c r="Q29" s="306">
        <v>3660</v>
      </c>
      <c r="R29" s="306">
        <v>3660</v>
      </c>
      <c r="S29" s="306">
        <v>3660</v>
      </c>
      <c r="T29" s="306">
        <v>3660</v>
      </c>
      <c r="U29" s="306">
        <v>3659.3</v>
      </c>
      <c r="V29" s="306">
        <v>3659.3</v>
      </c>
      <c r="W29" s="306">
        <v>3659.3</v>
      </c>
      <c r="X29" s="306">
        <v>3654.6</v>
      </c>
      <c r="Y29" s="306">
        <v>3654.6</v>
      </c>
      <c r="Z29" s="306">
        <v>3654.6</v>
      </c>
      <c r="AA29" s="10" t="s">
        <v>36</v>
      </c>
    </row>
    <row r="30" spans="1:27" ht="12.75" customHeight="1">
      <c r="A30" s="8"/>
      <c r="B30" s="224" t="s">
        <v>53</v>
      </c>
      <c r="C30" s="249" t="s">
        <v>59</v>
      </c>
      <c r="D30" s="249" t="s">
        <v>59</v>
      </c>
      <c r="E30" s="249" t="s">
        <v>59</v>
      </c>
      <c r="F30" s="249" t="s">
        <v>59</v>
      </c>
      <c r="G30" s="249" t="s">
        <v>59</v>
      </c>
      <c r="H30" s="249" t="s">
        <v>59</v>
      </c>
      <c r="I30" s="249" t="s">
        <v>59</v>
      </c>
      <c r="J30" s="249" t="s">
        <v>59</v>
      </c>
      <c r="K30" s="249" t="s">
        <v>59</v>
      </c>
      <c r="L30" s="249" t="s">
        <v>59</v>
      </c>
      <c r="M30" s="249" t="s">
        <v>59</v>
      </c>
      <c r="N30" s="249" t="s">
        <v>59</v>
      </c>
      <c r="O30" s="249" t="s">
        <v>59</v>
      </c>
      <c r="P30" s="249" t="s">
        <v>59</v>
      </c>
      <c r="Q30" s="249" t="s">
        <v>59</v>
      </c>
      <c r="R30" s="249" t="s">
        <v>59</v>
      </c>
      <c r="S30" s="249" t="s">
        <v>59</v>
      </c>
      <c r="T30" s="249" t="s">
        <v>59</v>
      </c>
      <c r="U30" s="249" t="s">
        <v>59</v>
      </c>
      <c r="V30" s="249" t="s">
        <v>59</v>
      </c>
      <c r="W30" s="249" t="s">
        <v>59</v>
      </c>
      <c r="X30" s="249" t="s">
        <v>59</v>
      </c>
      <c r="Y30" s="249" t="s">
        <v>59</v>
      </c>
      <c r="Z30" s="249" t="s">
        <v>59</v>
      </c>
      <c r="AA30" s="224" t="s">
        <v>53</v>
      </c>
    </row>
    <row r="31" spans="1:27" ht="12.75" customHeight="1">
      <c r="A31" s="8"/>
      <c r="B31" s="10" t="s">
        <v>37</v>
      </c>
      <c r="C31" s="305"/>
      <c r="D31" s="306"/>
      <c r="E31" s="306">
        <v>1782</v>
      </c>
      <c r="F31" s="306">
        <v>1779</v>
      </c>
      <c r="G31" s="306">
        <v>1779</v>
      </c>
      <c r="H31" s="306">
        <v>1779</v>
      </c>
      <c r="I31" s="306">
        <v>1779</v>
      </c>
      <c r="J31" s="306">
        <v>1779</v>
      </c>
      <c r="K31" s="306">
        <v>1779</v>
      </c>
      <c r="L31" s="306">
        <v>1779</v>
      </c>
      <c r="M31" s="306">
        <v>1779</v>
      </c>
      <c r="N31" s="306">
        <v>1779</v>
      </c>
      <c r="O31" s="306">
        <v>1779</v>
      </c>
      <c r="P31" s="306">
        <v>1779</v>
      </c>
      <c r="Q31" s="306">
        <v>1779</v>
      </c>
      <c r="R31" s="306">
        <v>1779</v>
      </c>
      <c r="S31" s="306">
        <v>1779</v>
      </c>
      <c r="T31" s="306">
        <v>1779</v>
      </c>
      <c r="U31" s="306">
        <v>1779</v>
      </c>
      <c r="V31" s="306">
        <v>1779</v>
      </c>
      <c r="W31" s="306">
        <v>1779</v>
      </c>
      <c r="X31" s="306">
        <v>1779</v>
      </c>
      <c r="Y31" s="306">
        <v>1779</v>
      </c>
      <c r="Z31" s="306">
        <v>1779</v>
      </c>
      <c r="AA31" s="10" t="s">
        <v>37</v>
      </c>
    </row>
    <row r="32" spans="1:27" ht="12.75" customHeight="1">
      <c r="A32" s="8"/>
      <c r="B32" s="224" t="s">
        <v>39</v>
      </c>
      <c r="C32" s="308" t="s">
        <v>59</v>
      </c>
      <c r="D32" s="249" t="s">
        <v>59</v>
      </c>
      <c r="E32" s="249" t="s">
        <v>59</v>
      </c>
      <c r="F32" s="249" t="s">
        <v>59</v>
      </c>
      <c r="G32" s="249" t="s">
        <v>59</v>
      </c>
      <c r="H32" s="249" t="s">
        <v>59</v>
      </c>
      <c r="I32" s="249" t="s">
        <v>59</v>
      </c>
      <c r="J32" s="249" t="s">
        <v>59</v>
      </c>
      <c r="K32" s="249" t="s">
        <v>59</v>
      </c>
      <c r="L32" s="249" t="s">
        <v>59</v>
      </c>
      <c r="M32" s="249" t="s">
        <v>59</v>
      </c>
      <c r="N32" s="249" t="s">
        <v>59</v>
      </c>
      <c r="O32" s="249" t="s">
        <v>59</v>
      </c>
      <c r="P32" s="249" t="s">
        <v>59</v>
      </c>
      <c r="Q32" s="249" t="s">
        <v>59</v>
      </c>
      <c r="R32" s="249" t="s">
        <v>59</v>
      </c>
      <c r="S32" s="249" t="s">
        <v>59</v>
      </c>
      <c r="T32" s="249" t="s">
        <v>59</v>
      </c>
      <c r="U32" s="249" t="s">
        <v>59</v>
      </c>
      <c r="V32" s="249" t="s">
        <v>59</v>
      </c>
      <c r="W32" s="249" t="s">
        <v>59</v>
      </c>
      <c r="X32" s="249" t="s">
        <v>59</v>
      </c>
      <c r="Y32" s="249" t="s">
        <v>59</v>
      </c>
      <c r="Z32" s="249" t="s">
        <v>59</v>
      </c>
      <c r="AA32" s="224" t="s">
        <v>39</v>
      </c>
    </row>
    <row r="33" spans="1:27" ht="12.75" customHeight="1">
      <c r="A33" s="8"/>
      <c r="B33" s="10" t="s">
        <v>38</v>
      </c>
      <c r="C33" s="309"/>
      <c r="D33" s="342"/>
      <c r="E33" s="342">
        <v>2379</v>
      </c>
      <c r="F33" s="306">
        <v>172</v>
      </c>
      <c r="G33" s="306">
        <v>172</v>
      </c>
      <c r="H33" s="306">
        <v>172</v>
      </c>
      <c r="I33" s="306">
        <v>172</v>
      </c>
      <c r="J33" s="306">
        <v>172</v>
      </c>
      <c r="K33" s="306">
        <v>172</v>
      </c>
      <c r="L33" s="306">
        <v>172</v>
      </c>
      <c r="M33" s="306">
        <v>172</v>
      </c>
      <c r="N33" s="306">
        <v>172</v>
      </c>
      <c r="O33" s="306">
        <v>172</v>
      </c>
      <c r="P33" s="306">
        <v>172</v>
      </c>
      <c r="Q33" s="306">
        <v>172</v>
      </c>
      <c r="R33" s="306">
        <v>172</v>
      </c>
      <c r="S33" s="306">
        <v>172</v>
      </c>
      <c r="T33" s="306">
        <v>172</v>
      </c>
      <c r="U33" s="306">
        <v>172</v>
      </c>
      <c r="V33" s="306">
        <v>172</v>
      </c>
      <c r="W33" s="306">
        <v>172</v>
      </c>
      <c r="X33" s="306">
        <v>172</v>
      </c>
      <c r="Y33" s="306">
        <v>172</v>
      </c>
      <c r="Z33" s="306">
        <v>172</v>
      </c>
      <c r="AA33" s="10" t="s">
        <v>38</v>
      </c>
    </row>
    <row r="34" spans="1:27" ht="12.75" customHeight="1">
      <c r="A34" s="8"/>
      <c r="B34" s="224" t="s">
        <v>54</v>
      </c>
      <c r="C34" s="308">
        <v>6000</v>
      </c>
      <c r="D34" s="249">
        <v>6057</v>
      </c>
      <c r="E34" s="249">
        <v>6072</v>
      </c>
      <c r="F34" s="249">
        <v>6120</v>
      </c>
      <c r="G34" s="249">
        <v>6120</v>
      </c>
      <c r="H34" s="249">
        <v>6245</v>
      </c>
      <c r="I34" s="249">
        <v>7787</v>
      </c>
      <c r="J34" s="249">
        <v>7842</v>
      </c>
      <c r="K34" s="249">
        <v>7842</v>
      </c>
      <c r="L34" s="249">
        <v>7872</v>
      </c>
      <c r="M34" s="249">
        <v>7872</v>
      </c>
      <c r="N34" s="249">
        <v>7884</v>
      </c>
      <c r="O34" s="249">
        <v>8018</v>
      </c>
      <c r="P34" s="249">
        <v>8029</v>
      </c>
      <c r="Q34" s="249">
        <v>8045</v>
      </c>
      <c r="R34" s="249">
        <v>8049</v>
      </c>
      <c r="S34" s="249">
        <v>7983</v>
      </c>
      <c r="T34" s="249">
        <v>8002</v>
      </c>
      <c r="U34" s="249">
        <v>8006</v>
      </c>
      <c r="V34" s="249">
        <v>8013</v>
      </c>
      <c r="W34" s="249">
        <v>8014</v>
      </c>
      <c r="X34" s="249">
        <v>8052</v>
      </c>
      <c r="Y34" s="249">
        <v>8052</v>
      </c>
      <c r="Z34" s="371">
        <v>8127</v>
      </c>
      <c r="AA34" s="224" t="s">
        <v>54</v>
      </c>
    </row>
    <row r="35" spans="1:27" ht="12.75" customHeight="1">
      <c r="A35" s="8"/>
      <c r="B35" s="10" t="s">
        <v>55</v>
      </c>
      <c r="C35" s="306" t="s">
        <v>59</v>
      </c>
      <c r="D35" s="306" t="s">
        <v>59</v>
      </c>
      <c r="E35" s="306" t="s">
        <v>59</v>
      </c>
      <c r="F35" s="306" t="s">
        <v>59</v>
      </c>
      <c r="G35" s="306" t="s">
        <v>59</v>
      </c>
      <c r="H35" s="306" t="s">
        <v>59</v>
      </c>
      <c r="I35" s="306" t="s">
        <v>59</v>
      </c>
      <c r="J35" s="306" t="s">
        <v>59</v>
      </c>
      <c r="K35" s="306" t="s">
        <v>59</v>
      </c>
      <c r="L35" s="306" t="s">
        <v>59</v>
      </c>
      <c r="M35" s="306" t="s">
        <v>59</v>
      </c>
      <c r="N35" s="306" t="s">
        <v>59</v>
      </c>
      <c r="O35" s="306" t="s">
        <v>59</v>
      </c>
      <c r="P35" s="306" t="s">
        <v>59</v>
      </c>
      <c r="Q35" s="306" t="s">
        <v>59</v>
      </c>
      <c r="R35" s="306" t="s">
        <v>59</v>
      </c>
      <c r="S35" s="306" t="s">
        <v>59</v>
      </c>
      <c r="T35" s="306" t="s">
        <v>59</v>
      </c>
      <c r="U35" s="306" t="s">
        <v>59</v>
      </c>
      <c r="V35" s="306" t="s">
        <v>59</v>
      </c>
      <c r="W35" s="306" t="s">
        <v>59</v>
      </c>
      <c r="X35" s="306" t="s">
        <v>59</v>
      </c>
      <c r="Y35" s="306" t="s">
        <v>59</v>
      </c>
      <c r="Z35" s="306" t="s">
        <v>59</v>
      </c>
      <c r="AA35" s="10" t="s">
        <v>55</v>
      </c>
    </row>
    <row r="36" spans="1:27" ht="12.75" customHeight="1">
      <c r="A36" s="8"/>
      <c r="B36" s="224" t="s">
        <v>44</v>
      </c>
      <c r="C36" s="308">
        <v>1631</v>
      </c>
      <c r="D36" s="249">
        <v>1631</v>
      </c>
      <c r="E36" s="249">
        <v>1631</v>
      </c>
      <c r="F36" s="249">
        <v>1153</v>
      </c>
      <c r="G36" s="249">
        <v>1153</v>
      </c>
      <c r="H36" s="249">
        <v>1153</v>
      </c>
      <c r="I36" s="249">
        <v>1153</v>
      </c>
      <c r="J36" s="249">
        <v>1153</v>
      </c>
      <c r="K36" s="249">
        <v>1153</v>
      </c>
      <c r="L36" s="249">
        <v>1153</v>
      </c>
      <c r="M36" s="249">
        <v>1065</v>
      </c>
      <c r="N36" s="249">
        <v>1065</v>
      </c>
      <c r="O36" s="249">
        <v>1065</v>
      </c>
      <c r="P36" s="249">
        <v>1065</v>
      </c>
      <c r="Q36" s="249">
        <v>1065</v>
      </c>
      <c r="R36" s="249">
        <v>1050</v>
      </c>
      <c r="S36" s="249">
        <v>1050</v>
      </c>
      <c r="T36" s="249">
        <v>1050</v>
      </c>
      <c r="U36" s="249">
        <v>1050</v>
      </c>
      <c r="V36" s="249">
        <v>1050</v>
      </c>
      <c r="W36" s="249">
        <v>1050</v>
      </c>
      <c r="X36" s="249">
        <v>1050</v>
      </c>
      <c r="Y36" s="249">
        <v>1050</v>
      </c>
      <c r="Z36" s="249">
        <v>1050</v>
      </c>
      <c r="AA36" s="224" t="s">
        <v>44</v>
      </c>
    </row>
    <row r="37" spans="1:27" ht="12.75" customHeight="1">
      <c r="A37" s="8"/>
      <c r="B37" s="9" t="s">
        <v>131</v>
      </c>
      <c r="C37" s="372" t="s">
        <v>59</v>
      </c>
      <c r="D37" s="300" t="s">
        <v>59</v>
      </c>
      <c r="E37" s="300" t="s">
        <v>59</v>
      </c>
      <c r="F37" s="300" t="s">
        <v>59</v>
      </c>
      <c r="G37" s="300" t="s">
        <v>59</v>
      </c>
      <c r="H37" s="300" t="s">
        <v>59</v>
      </c>
      <c r="I37" s="300" t="s">
        <v>59</v>
      </c>
      <c r="J37" s="300" t="s">
        <v>59</v>
      </c>
      <c r="K37" s="300" t="s">
        <v>59</v>
      </c>
      <c r="L37" s="300" t="s">
        <v>59</v>
      </c>
      <c r="M37" s="300" t="s">
        <v>59</v>
      </c>
      <c r="N37" s="300" t="s">
        <v>59</v>
      </c>
      <c r="O37" s="300" t="s">
        <v>59</v>
      </c>
      <c r="P37" s="300" t="s">
        <v>59</v>
      </c>
      <c r="Q37" s="300" t="s">
        <v>59</v>
      </c>
      <c r="R37" s="300" t="s">
        <v>59</v>
      </c>
      <c r="S37" s="300" t="s">
        <v>59</v>
      </c>
      <c r="T37" s="300" t="s">
        <v>59</v>
      </c>
      <c r="U37" s="300" t="s">
        <v>59</v>
      </c>
      <c r="V37" s="300" t="s">
        <v>59</v>
      </c>
      <c r="W37" s="300" t="s">
        <v>59</v>
      </c>
      <c r="X37" s="300" t="s">
        <v>59</v>
      </c>
      <c r="Y37" s="300" t="s">
        <v>59</v>
      </c>
      <c r="Z37" s="300" t="s">
        <v>59</v>
      </c>
      <c r="AA37" s="9" t="s">
        <v>131</v>
      </c>
    </row>
    <row r="38" spans="1:27" ht="12.75" customHeight="1">
      <c r="A38" s="8"/>
      <c r="B38" s="224" t="s">
        <v>129</v>
      </c>
      <c r="C38" s="308" t="s">
        <v>59</v>
      </c>
      <c r="D38" s="249" t="s">
        <v>59</v>
      </c>
      <c r="E38" s="249" t="s">
        <v>59</v>
      </c>
      <c r="F38" s="249" t="s">
        <v>59</v>
      </c>
      <c r="G38" s="249" t="s">
        <v>59</v>
      </c>
      <c r="H38" s="249" t="s">
        <v>59</v>
      </c>
      <c r="I38" s="249" t="s">
        <v>59</v>
      </c>
      <c r="J38" s="249" t="s">
        <v>59</v>
      </c>
      <c r="K38" s="249" t="s">
        <v>59</v>
      </c>
      <c r="L38" s="249" t="s">
        <v>59</v>
      </c>
      <c r="M38" s="249" t="s">
        <v>59</v>
      </c>
      <c r="N38" s="249" t="s">
        <v>59</v>
      </c>
      <c r="O38" s="249" t="s">
        <v>59</v>
      </c>
      <c r="P38" s="249" t="s">
        <v>59</v>
      </c>
      <c r="Q38" s="249" t="s">
        <v>59</v>
      </c>
      <c r="R38" s="249" t="s">
        <v>59</v>
      </c>
      <c r="S38" s="249" t="s">
        <v>59</v>
      </c>
      <c r="T38" s="249" t="s">
        <v>59</v>
      </c>
      <c r="U38" s="249" t="s">
        <v>59</v>
      </c>
      <c r="V38" s="249" t="s">
        <v>59</v>
      </c>
      <c r="W38" s="249" t="s">
        <v>59</v>
      </c>
      <c r="X38" s="249" t="s">
        <v>59</v>
      </c>
      <c r="Y38" s="249" t="s">
        <v>59</v>
      </c>
      <c r="Z38" s="249" t="s">
        <v>59</v>
      </c>
      <c r="AA38" s="224" t="s">
        <v>129</v>
      </c>
    </row>
    <row r="39" spans="1:27" ht="12.75" customHeight="1">
      <c r="A39" s="8"/>
      <c r="B39" s="10" t="s">
        <v>1</v>
      </c>
      <c r="C39" s="305" t="s">
        <v>59</v>
      </c>
      <c r="D39" s="306" t="s">
        <v>59</v>
      </c>
      <c r="E39" s="306" t="s">
        <v>59</v>
      </c>
      <c r="F39" s="306" t="s">
        <v>59</v>
      </c>
      <c r="G39" s="306" t="s">
        <v>59</v>
      </c>
      <c r="H39" s="306" t="s">
        <v>59</v>
      </c>
      <c r="I39" s="306" t="s">
        <v>59</v>
      </c>
      <c r="J39" s="306" t="s">
        <v>59</v>
      </c>
      <c r="K39" s="306" t="s">
        <v>59</v>
      </c>
      <c r="L39" s="306" t="s">
        <v>59</v>
      </c>
      <c r="M39" s="306" t="s">
        <v>59</v>
      </c>
      <c r="N39" s="306" t="s">
        <v>59</v>
      </c>
      <c r="O39" s="306" t="s">
        <v>59</v>
      </c>
      <c r="P39" s="306" t="s">
        <v>59</v>
      </c>
      <c r="Q39" s="306" t="s">
        <v>59</v>
      </c>
      <c r="R39" s="306" t="s">
        <v>59</v>
      </c>
      <c r="S39" s="306" t="s">
        <v>59</v>
      </c>
      <c r="T39" s="306" t="s">
        <v>59</v>
      </c>
      <c r="U39" s="306" t="s">
        <v>59</v>
      </c>
      <c r="V39" s="306" t="s">
        <v>59</v>
      </c>
      <c r="W39" s="306" t="s">
        <v>59</v>
      </c>
      <c r="X39" s="306" t="s">
        <v>59</v>
      </c>
      <c r="Y39" s="306" t="s">
        <v>59</v>
      </c>
      <c r="Z39" s="306" t="s">
        <v>59</v>
      </c>
      <c r="AA39" s="10" t="s">
        <v>1</v>
      </c>
    </row>
    <row r="40" spans="1:27" ht="12.75" customHeight="1">
      <c r="A40" s="8"/>
      <c r="B40" s="224" t="s">
        <v>130</v>
      </c>
      <c r="C40" s="30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89"/>
      <c r="S40" s="289"/>
      <c r="T40" s="289"/>
      <c r="U40" s="249">
        <v>1364</v>
      </c>
      <c r="V40" s="249">
        <v>1364</v>
      </c>
      <c r="W40" s="249">
        <v>1593</v>
      </c>
      <c r="X40" s="249">
        <v>1593</v>
      </c>
      <c r="Y40" s="249">
        <v>1593</v>
      </c>
      <c r="Z40" s="249">
        <v>1593</v>
      </c>
      <c r="AA40" s="224" t="s">
        <v>130</v>
      </c>
    </row>
    <row r="41" spans="1:27" ht="12.75" customHeight="1">
      <c r="A41" s="8"/>
      <c r="B41" s="12" t="s">
        <v>40</v>
      </c>
      <c r="C41" s="313" t="s">
        <v>59</v>
      </c>
      <c r="D41" s="314" t="s">
        <v>59</v>
      </c>
      <c r="E41" s="314" t="s">
        <v>59</v>
      </c>
      <c r="F41" s="314" t="s">
        <v>59</v>
      </c>
      <c r="G41" s="314" t="s">
        <v>59</v>
      </c>
      <c r="H41" s="314" t="s">
        <v>59</v>
      </c>
      <c r="I41" s="314" t="s">
        <v>59</v>
      </c>
      <c r="J41" s="314" t="s">
        <v>59</v>
      </c>
      <c r="K41" s="314" t="s">
        <v>59</v>
      </c>
      <c r="L41" s="314" t="s">
        <v>59</v>
      </c>
      <c r="M41" s="314" t="s">
        <v>59</v>
      </c>
      <c r="N41" s="314" t="s">
        <v>59</v>
      </c>
      <c r="O41" s="314" t="s">
        <v>59</v>
      </c>
      <c r="P41" s="314" t="s">
        <v>59</v>
      </c>
      <c r="Q41" s="314" t="s">
        <v>59</v>
      </c>
      <c r="R41" s="314" t="s">
        <v>59</v>
      </c>
      <c r="S41" s="314" t="s">
        <v>59</v>
      </c>
      <c r="T41" s="314" t="s">
        <v>59</v>
      </c>
      <c r="U41" s="314" t="s">
        <v>59</v>
      </c>
      <c r="V41" s="314" t="s">
        <v>59</v>
      </c>
      <c r="W41" s="314" t="s">
        <v>59</v>
      </c>
      <c r="X41" s="314" t="s">
        <v>59</v>
      </c>
      <c r="Y41" s="314" t="s">
        <v>59</v>
      </c>
      <c r="Z41" s="314" t="s">
        <v>59</v>
      </c>
      <c r="AA41" s="12" t="s">
        <v>40</v>
      </c>
    </row>
    <row r="42" spans="1:27" ht="12.75" customHeight="1">
      <c r="A42" s="8"/>
      <c r="B42" s="290" t="s">
        <v>26</v>
      </c>
      <c r="C42" s="308" t="s">
        <v>59</v>
      </c>
      <c r="D42" s="249" t="s">
        <v>59</v>
      </c>
      <c r="E42" s="249" t="s">
        <v>59</v>
      </c>
      <c r="F42" s="249" t="s">
        <v>59</v>
      </c>
      <c r="G42" s="249" t="s">
        <v>59</v>
      </c>
      <c r="H42" s="249" t="s">
        <v>59</v>
      </c>
      <c r="I42" s="249" t="s">
        <v>59</v>
      </c>
      <c r="J42" s="249" t="s">
        <v>59</v>
      </c>
      <c r="K42" s="249" t="s">
        <v>59</v>
      </c>
      <c r="L42" s="249" t="s">
        <v>59</v>
      </c>
      <c r="M42" s="249" t="s">
        <v>59</v>
      </c>
      <c r="N42" s="249" t="s">
        <v>59</v>
      </c>
      <c r="O42" s="249" t="s">
        <v>59</v>
      </c>
      <c r="P42" s="249" t="s">
        <v>59</v>
      </c>
      <c r="Q42" s="249" t="s">
        <v>59</v>
      </c>
      <c r="R42" s="249" t="s">
        <v>59</v>
      </c>
      <c r="S42" s="249" t="s">
        <v>59</v>
      </c>
      <c r="T42" s="249" t="s">
        <v>59</v>
      </c>
      <c r="U42" s="249" t="s">
        <v>59</v>
      </c>
      <c r="V42" s="249" t="s">
        <v>59</v>
      </c>
      <c r="W42" s="249" t="s">
        <v>59</v>
      </c>
      <c r="X42" s="249" t="s">
        <v>59</v>
      </c>
      <c r="Y42" s="249" t="s">
        <v>59</v>
      </c>
      <c r="Z42" s="249" t="s">
        <v>59</v>
      </c>
      <c r="AA42" s="290" t="s">
        <v>26</v>
      </c>
    </row>
    <row r="43" spans="1:27" ht="12.75" customHeight="1">
      <c r="A43" s="8"/>
      <c r="B43" s="10" t="s">
        <v>56</v>
      </c>
      <c r="C43" s="305" t="s">
        <v>59</v>
      </c>
      <c r="D43" s="306" t="s">
        <v>59</v>
      </c>
      <c r="E43" s="306" t="s">
        <v>59</v>
      </c>
      <c r="F43" s="306" t="s">
        <v>59</v>
      </c>
      <c r="G43" s="306" t="s">
        <v>59</v>
      </c>
      <c r="H43" s="306" t="s">
        <v>59</v>
      </c>
      <c r="I43" s="306" t="s">
        <v>59</v>
      </c>
      <c r="J43" s="306" t="s">
        <v>59</v>
      </c>
      <c r="K43" s="306" t="s">
        <v>59</v>
      </c>
      <c r="L43" s="306" t="s">
        <v>59</v>
      </c>
      <c r="M43" s="306" t="s">
        <v>59</v>
      </c>
      <c r="N43" s="306" t="s">
        <v>59</v>
      </c>
      <c r="O43" s="306" t="s">
        <v>59</v>
      </c>
      <c r="P43" s="306" t="s">
        <v>59</v>
      </c>
      <c r="Q43" s="306" t="s">
        <v>59</v>
      </c>
      <c r="R43" s="306" t="s">
        <v>59</v>
      </c>
      <c r="S43" s="306" t="s">
        <v>59</v>
      </c>
      <c r="T43" s="306" t="s">
        <v>59</v>
      </c>
      <c r="U43" s="306" t="s">
        <v>59</v>
      </c>
      <c r="V43" s="306" t="s">
        <v>59</v>
      </c>
      <c r="W43" s="306" t="s">
        <v>59</v>
      </c>
      <c r="X43" s="306" t="s">
        <v>59</v>
      </c>
      <c r="Y43" s="306" t="s">
        <v>59</v>
      </c>
      <c r="Z43" s="306" t="s">
        <v>59</v>
      </c>
      <c r="AA43" s="10" t="s">
        <v>56</v>
      </c>
    </row>
    <row r="44" spans="1:27" ht="12.75" customHeight="1">
      <c r="A44" s="8"/>
      <c r="B44" s="251" t="s">
        <v>27</v>
      </c>
      <c r="C44" s="373" t="s">
        <v>59</v>
      </c>
      <c r="D44" s="357" t="s">
        <v>59</v>
      </c>
      <c r="E44" s="357" t="s">
        <v>59</v>
      </c>
      <c r="F44" s="249" t="s">
        <v>59</v>
      </c>
      <c r="G44" s="249" t="s">
        <v>59</v>
      </c>
      <c r="H44" s="249" t="s">
        <v>59</v>
      </c>
      <c r="I44" s="249" t="s">
        <v>59</v>
      </c>
      <c r="J44" s="249" t="s">
        <v>59</v>
      </c>
      <c r="K44" s="249" t="s">
        <v>59</v>
      </c>
      <c r="L44" s="249" t="s">
        <v>59</v>
      </c>
      <c r="M44" s="249" t="s">
        <v>59</v>
      </c>
      <c r="N44" s="249" t="s">
        <v>59</v>
      </c>
      <c r="O44" s="249" t="s">
        <v>59</v>
      </c>
      <c r="P44" s="249" t="s">
        <v>59</v>
      </c>
      <c r="Q44" s="249" t="s">
        <v>59</v>
      </c>
      <c r="R44" s="249" t="s">
        <v>59</v>
      </c>
      <c r="S44" s="249" t="s">
        <v>59</v>
      </c>
      <c r="T44" s="249" t="s">
        <v>59</v>
      </c>
      <c r="U44" s="249" t="s">
        <v>59</v>
      </c>
      <c r="V44" s="249" t="s">
        <v>59</v>
      </c>
      <c r="W44" s="249" t="s">
        <v>59</v>
      </c>
      <c r="X44" s="249" t="s">
        <v>59</v>
      </c>
      <c r="Y44" s="249" t="s">
        <v>59</v>
      </c>
      <c r="Z44" s="249" t="s">
        <v>59</v>
      </c>
      <c r="AA44" s="251" t="s">
        <v>27</v>
      </c>
    </row>
    <row r="45" spans="2:27" ht="15" customHeight="1">
      <c r="B45" s="441" t="s">
        <v>126</v>
      </c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2:27" ht="12.75" customHeight="1">
      <c r="B46" s="221" t="s">
        <v>164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</row>
    <row r="47" spans="4:27" ht="12.75">
      <c r="D47" s="39"/>
      <c r="E47" s="39"/>
      <c r="F47" s="39"/>
      <c r="G47" s="39"/>
      <c r="H47" s="39"/>
      <c r="I47" s="39"/>
      <c r="J47" s="39"/>
      <c r="K47" s="39"/>
      <c r="L47" s="39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</row>
  </sheetData>
  <sheetProtection/>
  <mergeCells count="4">
    <mergeCell ref="B1:C1"/>
    <mergeCell ref="B2:AA2"/>
    <mergeCell ref="B3:AA3"/>
    <mergeCell ref="B45:AA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AE49"/>
  <sheetViews>
    <sheetView tabSelected="1" zoomScalePageLayoutView="0" workbookViewId="0" topLeftCell="A1">
      <selection activeCell="S51" sqref="S51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5" width="6.7109375" style="0" customWidth="1"/>
    <col min="6" max="9" width="5.7109375" style="0" customWidth="1"/>
    <col min="10" max="10" width="6.7109375" style="0" customWidth="1"/>
    <col min="11" max="14" width="5.7109375" style="0" customWidth="1"/>
    <col min="15" max="19" width="6.7109375" style="0" customWidth="1"/>
    <col min="20" max="22" width="7.28125" style="0" customWidth="1"/>
    <col min="23" max="24" width="7.28125" style="1" customWidth="1"/>
    <col min="25" max="30" width="7.28125" style="0" customWidth="1"/>
    <col min="31" max="31" width="5.57421875" style="0" customWidth="1"/>
  </cols>
  <sheetData>
    <row r="1" spans="1:31" ht="14.25" customHeight="1">
      <c r="A1" s="1"/>
      <c r="B1" s="440"/>
      <c r="C1" s="440"/>
      <c r="D1" s="2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E1" s="18" t="s">
        <v>119</v>
      </c>
    </row>
    <row r="2" spans="1:31" ht="30" customHeight="1">
      <c r="A2" s="1"/>
      <c r="B2" s="443" t="s">
        <v>24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</row>
    <row r="3" spans="1:31" ht="15" customHeight="1">
      <c r="A3" s="1"/>
      <c r="B3" s="484" t="s">
        <v>25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</row>
    <row r="4" spans="2:30" ht="12.75">
      <c r="B4" s="3"/>
      <c r="C4" s="35"/>
      <c r="D4" s="36"/>
      <c r="E4" s="223"/>
      <c r="F4" s="223"/>
      <c r="G4" s="223"/>
      <c r="H4" s="223"/>
      <c r="I4" s="223"/>
      <c r="J4" s="23"/>
      <c r="K4" s="23"/>
      <c r="L4" s="23"/>
      <c r="M4" s="23"/>
      <c r="N4" s="23"/>
      <c r="O4" s="23"/>
      <c r="V4" s="167" t="s">
        <v>5</v>
      </c>
      <c r="W4" s="167"/>
      <c r="X4" s="167"/>
      <c r="Y4" s="167"/>
      <c r="Z4" s="167"/>
      <c r="AA4" s="167"/>
      <c r="AB4" s="167"/>
      <c r="AC4" s="167"/>
      <c r="AD4" s="167"/>
    </row>
    <row r="5" spans="2:31" ht="15" customHeight="1">
      <c r="B5" s="173"/>
      <c r="C5" s="171">
        <v>1970</v>
      </c>
      <c r="D5" s="171">
        <v>1980</v>
      </c>
      <c r="E5" s="171">
        <v>1990</v>
      </c>
      <c r="F5" s="49">
        <v>1991</v>
      </c>
      <c r="G5" s="49">
        <v>1992</v>
      </c>
      <c r="H5" s="49">
        <v>1993</v>
      </c>
      <c r="I5" s="49">
        <v>1994</v>
      </c>
      <c r="J5" s="49">
        <v>1995</v>
      </c>
      <c r="K5" s="49">
        <v>1996</v>
      </c>
      <c r="L5" s="49">
        <v>1997</v>
      </c>
      <c r="M5" s="49">
        <v>1998</v>
      </c>
      <c r="N5" s="49">
        <v>1999</v>
      </c>
      <c r="O5" s="49">
        <v>2000</v>
      </c>
      <c r="P5" s="49">
        <v>2001</v>
      </c>
      <c r="Q5" s="49">
        <v>2002</v>
      </c>
      <c r="R5" s="49">
        <v>2003</v>
      </c>
      <c r="S5" s="49">
        <v>2004</v>
      </c>
      <c r="T5" s="49">
        <v>2005</v>
      </c>
      <c r="U5" s="49">
        <v>2006</v>
      </c>
      <c r="V5" s="49">
        <v>2007</v>
      </c>
      <c r="W5" s="49">
        <v>2008</v>
      </c>
      <c r="X5" s="49">
        <v>2009</v>
      </c>
      <c r="Y5" s="49">
        <v>2010</v>
      </c>
      <c r="Z5" s="49">
        <v>2011</v>
      </c>
      <c r="AA5" s="49">
        <v>2012</v>
      </c>
      <c r="AB5" s="49">
        <v>2013</v>
      </c>
      <c r="AC5" s="49">
        <v>2014</v>
      </c>
      <c r="AD5" s="50">
        <v>2015</v>
      </c>
      <c r="AE5" s="7"/>
    </row>
    <row r="6" spans="2:31" ht="12.75" customHeight="1">
      <c r="B6" s="51" t="s">
        <v>132</v>
      </c>
      <c r="C6" s="374"/>
      <c r="D6" s="374"/>
      <c r="E6" s="374"/>
      <c r="F6" s="320"/>
      <c r="G6" s="320"/>
      <c r="H6" s="320"/>
      <c r="I6" s="168"/>
      <c r="J6" s="168"/>
      <c r="K6" s="168"/>
      <c r="L6" s="168"/>
      <c r="M6" s="168"/>
      <c r="N6" s="168">
        <f aca="true" t="shared" si="0" ref="N6:S6">SUM(N9:N36)</f>
        <v>35276</v>
      </c>
      <c r="O6" s="168">
        <f t="shared" si="0"/>
        <v>35330</v>
      </c>
      <c r="P6" s="168">
        <f t="shared" si="0"/>
        <v>35748</v>
      </c>
      <c r="Q6" s="168">
        <f t="shared" si="0"/>
        <v>35366</v>
      </c>
      <c r="R6" s="168">
        <f t="shared" si="0"/>
        <v>35725</v>
      </c>
      <c r="S6" s="168">
        <f t="shared" si="0"/>
        <v>35126</v>
      </c>
      <c r="T6" s="168">
        <f aca="true" t="shared" si="1" ref="T6:Y6">SUM(T9:T36)</f>
        <v>36388</v>
      </c>
      <c r="U6" s="168">
        <f t="shared" si="1"/>
        <v>36835</v>
      </c>
      <c r="V6" s="168">
        <f t="shared" si="1"/>
        <v>37105</v>
      </c>
      <c r="W6" s="168">
        <f t="shared" si="1"/>
        <v>37283</v>
      </c>
      <c r="X6" s="168">
        <f t="shared" si="1"/>
        <v>37309</v>
      </c>
      <c r="Y6" s="168">
        <f t="shared" si="1"/>
        <v>37528</v>
      </c>
      <c r="Z6" s="168">
        <f>SUM(Z9:Z36)</f>
        <v>37365</v>
      </c>
      <c r="AA6" s="168">
        <f>SUM(AA9:AA36)</f>
        <v>36883.7</v>
      </c>
      <c r="AB6" s="169">
        <f>SUM(AB9:AB36)</f>
        <v>36814</v>
      </c>
      <c r="AC6" s="169">
        <f>SUM(AC9:AC36)</f>
        <v>37220.6</v>
      </c>
      <c r="AD6" s="169">
        <f>SUM(AD9:AD36)</f>
        <v>36016.6</v>
      </c>
      <c r="AE6" s="51" t="s">
        <v>132</v>
      </c>
    </row>
    <row r="7" spans="1:31" ht="12.75" customHeight="1">
      <c r="A7" s="8"/>
      <c r="B7" s="54" t="s">
        <v>133</v>
      </c>
      <c r="C7" s="375">
        <f>SUM(C9,C12:C13,C15:C18,C24,C27:C28,C30,C34:C36,C20)</f>
        <v>11149</v>
      </c>
      <c r="D7" s="376">
        <f aca="true" t="shared" si="2" ref="D7:Y7">SUM(D9,D12:D13,D15:D18,D24,D27:D28,D30,D34:D36,D20)</f>
        <v>17167</v>
      </c>
      <c r="E7" s="376">
        <f t="shared" si="2"/>
        <v>18309</v>
      </c>
      <c r="F7" s="324">
        <f t="shared" si="2"/>
        <v>19940</v>
      </c>
      <c r="G7" s="324">
        <f t="shared" si="2"/>
        <v>20593</v>
      </c>
      <c r="H7" s="324">
        <f t="shared" si="2"/>
        <v>20803</v>
      </c>
      <c r="I7" s="169">
        <f t="shared" si="2"/>
        <v>19855</v>
      </c>
      <c r="J7" s="169">
        <f t="shared" si="2"/>
        <v>20631</v>
      </c>
      <c r="K7" s="169">
        <f t="shared" si="2"/>
        <v>20618</v>
      </c>
      <c r="L7" s="169">
        <f t="shared" si="2"/>
        <v>21917</v>
      </c>
      <c r="M7" s="169">
        <f t="shared" si="2"/>
        <v>22030</v>
      </c>
      <c r="N7" s="169">
        <f t="shared" si="2"/>
        <v>22040</v>
      </c>
      <c r="O7" s="169">
        <f t="shared" si="2"/>
        <v>22135</v>
      </c>
      <c r="P7" s="169">
        <f t="shared" si="2"/>
        <v>22560</v>
      </c>
      <c r="Q7" s="169">
        <f t="shared" si="2"/>
        <v>22489</v>
      </c>
      <c r="R7" s="169">
        <f t="shared" si="2"/>
        <v>22541</v>
      </c>
      <c r="S7" s="169">
        <f t="shared" si="2"/>
        <v>22928</v>
      </c>
      <c r="T7" s="169">
        <f t="shared" si="2"/>
        <v>22984</v>
      </c>
      <c r="U7" s="169">
        <f t="shared" si="2"/>
        <v>23455</v>
      </c>
      <c r="V7" s="169">
        <f t="shared" si="2"/>
        <v>24055</v>
      </c>
      <c r="W7" s="169">
        <f t="shared" si="2"/>
        <v>24211</v>
      </c>
      <c r="X7" s="169">
        <f t="shared" si="2"/>
        <v>24163</v>
      </c>
      <c r="Y7" s="169">
        <f t="shared" si="2"/>
        <v>24408</v>
      </c>
      <c r="Z7" s="169">
        <f>SUM(Z9,Z12:Z13,Z15:Z18,Z24,Z27:Z28,Z30,Z34:Z36,Z20)</f>
        <v>26071</v>
      </c>
      <c r="AA7" s="169">
        <f>SUM(AA9,AA12:AA13,AA15:AA18,AA24,AA27:AA28,AA30,AA34:AA36,AA20)</f>
        <v>25985</v>
      </c>
      <c r="AB7" s="169">
        <f>SUM(AB9,AB12:AB13,AB15:AB18,AB24,AB27:AB28,AB30,AB34:AB36,AB20)</f>
        <v>25913</v>
      </c>
      <c r="AC7" s="169">
        <f>SUM(AC9,AC12:AC13,AC15:AC18,AC24,AC27:AC28,AC30,AC34:AC36,AC20)</f>
        <v>26198</v>
      </c>
      <c r="AD7" s="169">
        <f>SUM(AD9,AD12:AD13,AD15:AD18,AD24,AD27:AD28,AD30,AD34:AD36,AD20)</f>
        <v>25359</v>
      </c>
      <c r="AE7" s="54" t="s">
        <v>133</v>
      </c>
    </row>
    <row r="8" spans="1:31" ht="12.75" customHeight="1">
      <c r="A8" s="8"/>
      <c r="B8" s="57" t="s">
        <v>134</v>
      </c>
      <c r="C8" s="377"/>
      <c r="D8" s="377"/>
      <c r="E8" s="377"/>
      <c r="F8" s="328"/>
      <c r="G8" s="328"/>
      <c r="H8" s="328"/>
      <c r="I8" s="328"/>
      <c r="J8" s="328"/>
      <c r="K8" s="328"/>
      <c r="L8" s="328"/>
      <c r="M8" s="328"/>
      <c r="N8" s="328">
        <f>N6-N7</f>
        <v>13236</v>
      </c>
      <c r="O8" s="328">
        <f aca="true" t="shared" si="3" ref="O8:Z8">O6-O7</f>
        <v>13195</v>
      </c>
      <c r="P8" s="328">
        <f t="shared" si="3"/>
        <v>13188</v>
      </c>
      <c r="Q8" s="328">
        <f t="shared" si="3"/>
        <v>12877</v>
      </c>
      <c r="R8" s="328">
        <f t="shared" si="3"/>
        <v>13184</v>
      </c>
      <c r="S8" s="328">
        <f t="shared" si="3"/>
        <v>12198</v>
      </c>
      <c r="T8" s="328">
        <f t="shared" si="3"/>
        <v>13404</v>
      </c>
      <c r="U8" s="328">
        <f t="shared" si="3"/>
        <v>13380</v>
      </c>
      <c r="V8" s="328">
        <f t="shared" si="3"/>
        <v>13050</v>
      </c>
      <c r="W8" s="328">
        <f t="shared" si="3"/>
        <v>13072</v>
      </c>
      <c r="X8" s="328">
        <f t="shared" si="3"/>
        <v>13146</v>
      </c>
      <c r="Y8" s="328">
        <f t="shared" si="3"/>
        <v>13120</v>
      </c>
      <c r="Z8" s="328">
        <f t="shared" si="3"/>
        <v>11294</v>
      </c>
      <c r="AA8" s="328">
        <f>AA6-AA7</f>
        <v>10898.699999999997</v>
      </c>
      <c r="AB8" s="328">
        <f>AB6-AB7</f>
        <v>10901</v>
      </c>
      <c r="AC8" s="328">
        <f>AC6-AC7</f>
        <v>11022.599999999999</v>
      </c>
      <c r="AD8" s="328">
        <f>AD6-AD7</f>
        <v>10657.599999999999</v>
      </c>
      <c r="AE8" s="57" t="s">
        <v>134</v>
      </c>
    </row>
    <row r="9" spans="1:31" ht="12.75" customHeight="1">
      <c r="A9" s="8"/>
      <c r="B9" s="9" t="s">
        <v>45</v>
      </c>
      <c r="C9" s="378">
        <v>52</v>
      </c>
      <c r="D9" s="378">
        <v>458</v>
      </c>
      <c r="E9" s="379">
        <v>301</v>
      </c>
      <c r="F9" s="300">
        <v>294</v>
      </c>
      <c r="G9" s="300">
        <v>294</v>
      </c>
      <c r="H9" s="300">
        <v>294</v>
      </c>
      <c r="I9" s="348">
        <v>294</v>
      </c>
      <c r="J9" s="348">
        <v>294</v>
      </c>
      <c r="K9" s="348">
        <v>294</v>
      </c>
      <c r="L9" s="348">
        <v>294</v>
      </c>
      <c r="M9" s="348">
        <v>294</v>
      </c>
      <c r="N9" s="348">
        <v>294</v>
      </c>
      <c r="O9" s="348">
        <v>294</v>
      </c>
      <c r="P9" s="348">
        <v>294</v>
      </c>
      <c r="Q9" s="348">
        <v>294</v>
      </c>
      <c r="R9" s="348">
        <v>294</v>
      </c>
      <c r="S9" s="348">
        <v>294</v>
      </c>
      <c r="T9" s="348">
        <v>294</v>
      </c>
      <c r="U9" s="348">
        <v>294</v>
      </c>
      <c r="V9" s="348">
        <v>294</v>
      </c>
      <c r="W9" s="348">
        <v>294</v>
      </c>
      <c r="X9" s="348">
        <v>294</v>
      </c>
      <c r="Y9" s="348">
        <v>294</v>
      </c>
      <c r="Z9" s="348">
        <v>294</v>
      </c>
      <c r="AA9" s="348">
        <v>294</v>
      </c>
      <c r="AB9" s="348">
        <v>294</v>
      </c>
      <c r="AC9" s="348">
        <v>294</v>
      </c>
      <c r="AD9" s="348">
        <v>294</v>
      </c>
      <c r="AE9" s="9" t="s">
        <v>45</v>
      </c>
    </row>
    <row r="10" spans="1:31" ht="12.75" customHeight="1">
      <c r="A10" s="8"/>
      <c r="B10" s="54" t="s">
        <v>28</v>
      </c>
      <c r="C10" s="380" t="s">
        <v>57</v>
      </c>
      <c r="D10" s="380" t="s">
        <v>57</v>
      </c>
      <c r="E10" s="380">
        <v>578</v>
      </c>
      <c r="F10" s="240">
        <v>578</v>
      </c>
      <c r="G10" s="240">
        <v>578</v>
      </c>
      <c r="H10" s="240">
        <v>578</v>
      </c>
      <c r="I10" s="240">
        <v>578</v>
      </c>
      <c r="J10" s="240">
        <v>578</v>
      </c>
      <c r="K10" s="240">
        <v>578</v>
      </c>
      <c r="L10" s="240">
        <v>578</v>
      </c>
      <c r="M10" s="240">
        <v>578</v>
      </c>
      <c r="N10" s="240">
        <v>578</v>
      </c>
      <c r="O10" s="240">
        <v>578</v>
      </c>
      <c r="P10" s="240">
        <v>578</v>
      </c>
      <c r="Q10" s="240">
        <v>578</v>
      </c>
      <c r="R10" s="240">
        <v>578</v>
      </c>
      <c r="S10" s="240">
        <v>578</v>
      </c>
      <c r="T10" s="240">
        <v>578</v>
      </c>
      <c r="U10" s="240">
        <v>578</v>
      </c>
      <c r="V10" s="240">
        <v>578</v>
      </c>
      <c r="W10" s="240">
        <v>603</v>
      </c>
      <c r="X10" s="240">
        <v>608</v>
      </c>
      <c r="Y10" s="240">
        <v>578</v>
      </c>
      <c r="Z10" s="240">
        <v>578</v>
      </c>
      <c r="AA10" s="240">
        <v>578</v>
      </c>
      <c r="AB10" s="240">
        <v>578</v>
      </c>
      <c r="AC10" s="240">
        <v>570</v>
      </c>
      <c r="AD10" s="240">
        <v>570</v>
      </c>
      <c r="AE10" s="54" t="s">
        <v>28</v>
      </c>
    </row>
    <row r="11" spans="1:31" ht="12.75" customHeight="1">
      <c r="A11" s="8"/>
      <c r="B11" s="10" t="s">
        <v>30</v>
      </c>
      <c r="C11" s="378"/>
      <c r="D11" s="378"/>
      <c r="E11" s="378"/>
      <c r="F11" s="306"/>
      <c r="G11" s="306"/>
      <c r="H11" s="306">
        <v>568</v>
      </c>
      <c r="I11" s="306">
        <v>568</v>
      </c>
      <c r="J11" s="306">
        <v>581</v>
      </c>
      <c r="K11" s="306">
        <v>736</v>
      </c>
      <c r="L11" s="306">
        <v>736</v>
      </c>
      <c r="M11" s="306">
        <v>736</v>
      </c>
      <c r="N11" s="306">
        <v>736</v>
      </c>
      <c r="O11" s="306">
        <v>675</v>
      </c>
      <c r="P11" s="306">
        <v>675</v>
      </c>
      <c r="Q11" s="306">
        <v>675</v>
      </c>
      <c r="R11" s="306">
        <v>675</v>
      </c>
      <c r="S11" s="306">
        <v>675</v>
      </c>
      <c r="T11" s="306">
        <v>675</v>
      </c>
      <c r="U11" s="306">
        <v>675</v>
      </c>
      <c r="V11" s="306">
        <v>675</v>
      </c>
      <c r="W11" s="306">
        <v>675</v>
      </c>
      <c r="X11" s="306">
        <v>675</v>
      </c>
      <c r="Y11" s="306">
        <v>674</v>
      </c>
      <c r="Z11" s="306">
        <v>674</v>
      </c>
      <c r="AA11" s="306">
        <v>674</v>
      </c>
      <c r="AB11" s="306">
        <v>674</v>
      </c>
      <c r="AC11" s="306">
        <v>674</v>
      </c>
      <c r="AD11" s="306">
        <v>642</v>
      </c>
      <c r="AE11" s="10" t="s">
        <v>30</v>
      </c>
    </row>
    <row r="12" spans="1:31" ht="12.75" customHeight="1">
      <c r="A12" s="8"/>
      <c r="B12" s="54" t="s">
        <v>41</v>
      </c>
      <c r="C12" s="381" t="s">
        <v>59</v>
      </c>
      <c r="D12" s="380">
        <v>77</v>
      </c>
      <c r="E12" s="380">
        <v>444</v>
      </c>
      <c r="F12" s="240">
        <v>444</v>
      </c>
      <c r="G12" s="240">
        <v>409</v>
      </c>
      <c r="H12" s="240">
        <v>336</v>
      </c>
      <c r="I12" s="240">
        <v>336</v>
      </c>
      <c r="J12" s="240">
        <v>330</v>
      </c>
      <c r="K12" s="240">
        <v>330</v>
      </c>
      <c r="L12" s="240">
        <v>330</v>
      </c>
      <c r="M12" s="240">
        <v>330</v>
      </c>
      <c r="N12" s="240">
        <v>330</v>
      </c>
      <c r="O12" s="240">
        <v>330</v>
      </c>
      <c r="P12" s="240">
        <v>330</v>
      </c>
      <c r="Q12" s="240">
        <v>330</v>
      </c>
      <c r="R12" s="240">
        <v>330</v>
      </c>
      <c r="S12" s="240">
        <v>330</v>
      </c>
      <c r="T12" s="240">
        <v>330</v>
      </c>
      <c r="U12" s="240">
        <v>330</v>
      </c>
      <c r="V12" s="240">
        <v>330</v>
      </c>
      <c r="W12" s="240">
        <v>330</v>
      </c>
      <c r="X12" s="240">
        <v>330</v>
      </c>
      <c r="Y12" s="240">
        <v>330</v>
      </c>
      <c r="Z12" s="240">
        <v>330</v>
      </c>
      <c r="AA12" s="240">
        <v>330</v>
      </c>
      <c r="AB12" s="240">
        <v>330</v>
      </c>
      <c r="AC12" s="240">
        <v>330</v>
      </c>
      <c r="AD12" s="240">
        <v>330</v>
      </c>
      <c r="AE12" s="54" t="s">
        <v>41</v>
      </c>
    </row>
    <row r="13" spans="1:31" ht="12.75" customHeight="1">
      <c r="A13" s="8"/>
      <c r="B13" s="10" t="s">
        <v>46</v>
      </c>
      <c r="C13" s="378">
        <v>2058</v>
      </c>
      <c r="D13" s="378">
        <v>2222</v>
      </c>
      <c r="E13" s="378">
        <v>2222</v>
      </c>
      <c r="F13" s="306">
        <v>3318</v>
      </c>
      <c r="G13" s="306">
        <v>3318</v>
      </c>
      <c r="H13" s="306">
        <v>3318</v>
      </c>
      <c r="I13" s="382">
        <v>2460</v>
      </c>
      <c r="J13" s="306">
        <v>2460</v>
      </c>
      <c r="K13" s="306">
        <v>2460</v>
      </c>
      <c r="L13" s="306">
        <v>2460</v>
      </c>
      <c r="M13" s="306">
        <v>2370</v>
      </c>
      <c r="N13" s="306">
        <v>2370</v>
      </c>
      <c r="O13" s="306">
        <v>2370</v>
      </c>
      <c r="P13" s="306">
        <v>2370</v>
      </c>
      <c r="Q13" s="306">
        <v>2370</v>
      </c>
      <c r="R13" s="306">
        <v>2370</v>
      </c>
      <c r="S13" s="306">
        <v>2370</v>
      </c>
      <c r="T13" s="306">
        <v>2370</v>
      </c>
      <c r="U13" s="306">
        <v>2370</v>
      </c>
      <c r="V13" s="306">
        <v>2370</v>
      </c>
      <c r="W13" s="306">
        <v>2370</v>
      </c>
      <c r="X13" s="306">
        <v>2370</v>
      </c>
      <c r="Y13" s="306">
        <v>2370</v>
      </c>
      <c r="Z13" s="306">
        <v>2370</v>
      </c>
      <c r="AA13" s="306">
        <v>2370</v>
      </c>
      <c r="AB13" s="306">
        <v>2370</v>
      </c>
      <c r="AC13" s="306">
        <v>2370</v>
      </c>
      <c r="AD13" s="306">
        <v>2370</v>
      </c>
      <c r="AE13" s="10" t="s">
        <v>46</v>
      </c>
    </row>
    <row r="14" spans="1:31" ht="12.75" customHeight="1">
      <c r="A14" s="8"/>
      <c r="B14" s="54" t="s">
        <v>31</v>
      </c>
      <c r="C14" s="380" t="s">
        <v>59</v>
      </c>
      <c r="D14" s="380" t="s">
        <v>59</v>
      </c>
      <c r="E14" s="380" t="s">
        <v>59</v>
      </c>
      <c r="F14" s="240" t="s">
        <v>59</v>
      </c>
      <c r="G14" s="240" t="s">
        <v>59</v>
      </c>
      <c r="H14" s="240" t="s">
        <v>59</v>
      </c>
      <c r="I14" s="240" t="s">
        <v>59</v>
      </c>
      <c r="J14" s="240" t="s">
        <v>59</v>
      </c>
      <c r="K14" s="240" t="s">
        <v>59</v>
      </c>
      <c r="L14" s="240" t="s">
        <v>59</v>
      </c>
      <c r="M14" s="240" t="s">
        <v>59</v>
      </c>
      <c r="N14" s="240" t="s">
        <v>59</v>
      </c>
      <c r="O14" s="240" t="s">
        <v>59</v>
      </c>
      <c r="P14" s="240" t="s">
        <v>59</v>
      </c>
      <c r="Q14" s="240" t="s">
        <v>59</v>
      </c>
      <c r="R14" s="240" t="s">
        <v>59</v>
      </c>
      <c r="S14" s="240" t="s">
        <v>59</v>
      </c>
      <c r="T14" s="240" t="s">
        <v>59</v>
      </c>
      <c r="U14" s="240" t="s">
        <v>59</v>
      </c>
      <c r="V14" s="240" t="s">
        <v>59</v>
      </c>
      <c r="W14" s="240" t="s">
        <v>59</v>
      </c>
      <c r="X14" s="240" t="s">
        <v>59</v>
      </c>
      <c r="Y14" s="240" t="s">
        <v>59</v>
      </c>
      <c r="Z14" s="240" t="s">
        <v>59</v>
      </c>
      <c r="AA14" s="240" t="s">
        <v>59</v>
      </c>
      <c r="AB14" s="240" t="s">
        <v>59</v>
      </c>
      <c r="AC14" s="240" t="s">
        <v>59</v>
      </c>
      <c r="AD14" s="240" t="s">
        <v>59</v>
      </c>
      <c r="AE14" s="54" t="s">
        <v>31</v>
      </c>
    </row>
    <row r="15" spans="1:31" ht="12.75" customHeight="1">
      <c r="A15" s="8"/>
      <c r="B15" s="10" t="s">
        <v>49</v>
      </c>
      <c r="C15" s="378" t="s">
        <v>59</v>
      </c>
      <c r="D15" s="378" t="s">
        <v>59</v>
      </c>
      <c r="E15" s="378" t="s">
        <v>59</v>
      </c>
      <c r="F15" s="306" t="s">
        <v>59</v>
      </c>
      <c r="G15" s="306" t="s">
        <v>59</v>
      </c>
      <c r="H15" s="306" t="s">
        <v>59</v>
      </c>
      <c r="I15" s="306" t="s">
        <v>59</v>
      </c>
      <c r="J15" s="306" t="s">
        <v>59</v>
      </c>
      <c r="K15" s="306" t="s">
        <v>59</v>
      </c>
      <c r="L15" s="306" t="s">
        <v>59</v>
      </c>
      <c r="M15" s="306" t="s">
        <v>59</v>
      </c>
      <c r="N15" s="306" t="s">
        <v>59</v>
      </c>
      <c r="O15" s="306" t="s">
        <v>59</v>
      </c>
      <c r="P15" s="306" t="s">
        <v>59</v>
      </c>
      <c r="Q15" s="306" t="s">
        <v>59</v>
      </c>
      <c r="R15" s="306" t="s">
        <v>59</v>
      </c>
      <c r="S15" s="306" t="s">
        <v>59</v>
      </c>
      <c r="T15" s="306" t="s">
        <v>59</v>
      </c>
      <c r="U15" s="306" t="s">
        <v>59</v>
      </c>
      <c r="V15" s="306" t="s">
        <v>59</v>
      </c>
      <c r="W15" s="306" t="s">
        <v>59</v>
      </c>
      <c r="X15" s="306" t="s">
        <v>59</v>
      </c>
      <c r="Y15" s="306" t="s">
        <v>59</v>
      </c>
      <c r="Z15" s="306" t="s">
        <v>59</v>
      </c>
      <c r="AA15" s="306" t="s">
        <v>59</v>
      </c>
      <c r="AB15" s="306" t="s">
        <v>59</v>
      </c>
      <c r="AC15" s="306" t="s">
        <v>59</v>
      </c>
      <c r="AD15" s="306" t="s">
        <v>59</v>
      </c>
      <c r="AE15" s="10" t="s">
        <v>49</v>
      </c>
    </row>
    <row r="16" spans="1:31" ht="12.75" customHeight="1">
      <c r="A16" s="8"/>
      <c r="B16" s="54" t="s">
        <v>42</v>
      </c>
      <c r="C16" s="380" t="s">
        <v>59</v>
      </c>
      <c r="D16" s="380" t="s">
        <v>59</v>
      </c>
      <c r="E16" s="380" t="s">
        <v>59</v>
      </c>
      <c r="F16" s="240" t="s">
        <v>59</v>
      </c>
      <c r="G16" s="240" t="s">
        <v>59</v>
      </c>
      <c r="H16" s="240" t="s">
        <v>59</v>
      </c>
      <c r="I16" s="240" t="s">
        <v>59</v>
      </c>
      <c r="J16" s="240" t="s">
        <v>59</v>
      </c>
      <c r="K16" s="240" t="s">
        <v>59</v>
      </c>
      <c r="L16" s="240" t="s">
        <v>59</v>
      </c>
      <c r="M16" s="240" t="s">
        <v>59</v>
      </c>
      <c r="N16" s="240" t="s">
        <v>59</v>
      </c>
      <c r="O16" s="240" t="s">
        <v>59</v>
      </c>
      <c r="P16" s="240" t="s">
        <v>59</v>
      </c>
      <c r="Q16" s="240" t="s">
        <v>59</v>
      </c>
      <c r="R16" s="240" t="s">
        <v>59</v>
      </c>
      <c r="S16" s="240">
        <v>267</v>
      </c>
      <c r="T16" s="240">
        <v>267</v>
      </c>
      <c r="U16" s="240">
        <v>267</v>
      </c>
      <c r="V16" s="240">
        <v>267</v>
      </c>
      <c r="W16" s="240">
        <v>267</v>
      </c>
      <c r="X16" s="97">
        <v>267</v>
      </c>
      <c r="Y16" s="97">
        <v>267</v>
      </c>
      <c r="Z16" s="97">
        <v>267</v>
      </c>
      <c r="AA16" s="97">
        <v>267</v>
      </c>
      <c r="AB16" s="97">
        <v>267</v>
      </c>
      <c r="AC16" s="97">
        <v>267</v>
      </c>
      <c r="AD16" s="97">
        <v>267</v>
      </c>
      <c r="AE16" s="54" t="s">
        <v>42</v>
      </c>
    </row>
    <row r="17" spans="1:31" ht="12.75" customHeight="1">
      <c r="A17" s="8"/>
      <c r="B17" s="10" t="s">
        <v>47</v>
      </c>
      <c r="C17" s="378">
        <v>930</v>
      </c>
      <c r="D17" s="378">
        <v>1753</v>
      </c>
      <c r="E17" s="378">
        <v>2678</v>
      </c>
      <c r="F17" s="306">
        <v>3097</v>
      </c>
      <c r="G17" s="306">
        <v>3536</v>
      </c>
      <c r="H17" s="306">
        <v>3536</v>
      </c>
      <c r="I17" s="306">
        <v>3536</v>
      </c>
      <c r="J17" s="306">
        <v>3691</v>
      </c>
      <c r="K17" s="306">
        <v>3691</v>
      </c>
      <c r="L17" s="306">
        <v>3691</v>
      </c>
      <c r="M17" s="306">
        <v>3691</v>
      </c>
      <c r="N17" s="306">
        <v>3698</v>
      </c>
      <c r="O17" s="306">
        <v>3780</v>
      </c>
      <c r="P17" s="306">
        <v>3779</v>
      </c>
      <c r="Q17" s="306">
        <v>3784</v>
      </c>
      <c r="R17" s="306">
        <v>3784</v>
      </c>
      <c r="S17" s="306">
        <v>3831</v>
      </c>
      <c r="T17" s="306">
        <v>3833</v>
      </c>
      <c r="U17" s="306">
        <v>3841</v>
      </c>
      <c r="V17" s="306">
        <v>3904</v>
      </c>
      <c r="W17" s="306">
        <v>4195</v>
      </c>
      <c r="X17" s="306">
        <v>4213</v>
      </c>
      <c r="Y17" s="306">
        <v>4365</v>
      </c>
      <c r="Z17" s="306">
        <v>4722</v>
      </c>
      <c r="AA17" s="306">
        <v>4743</v>
      </c>
      <c r="AB17" s="306">
        <v>4735</v>
      </c>
      <c r="AC17" s="306">
        <v>4735</v>
      </c>
      <c r="AD17" s="306">
        <v>4736</v>
      </c>
      <c r="AE17" s="10" t="s">
        <v>47</v>
      </c>
    </row>
    <row r="18" spans="1:31" ht="12.75" customHeight="1">
      <c r="A18" s="8"/>
      <c r="B18" s="54" t="s">
        <v>48</v>
      </c>
      <c r="C18" s="380">
        <v>3609</v>
      </c>
      <c r="D18" s="380">
        <v>5254</v>
      </c>
      <c r="E18" s="380">
        <v>4948</v>
      </c>
      <c r="F18" s="240">
        <v>4871</v>
      </c>
      <c r="G18" s="240">
        <v>4871</v>
      </c>
      <c r="H18" s="240">
        <v>4830</v>
      </c>
      <c r="I18" s="240">
        <v>4830</v>
      </c>
      <c r="J18" s="240">
        <v>4983</v>
      </c>
      <c r="K18" s="240">
        <v>4983</v>
      </c>
      <c r="L18" s="240">
        <v>5746</v>
      </c>
      <c r="M18" s="240">
        <v>5746</v>
      </c>
      <c r="N18" s="240">
        <v>5746</v>
      </c>
      <c r="O18" s="240">
        <v>5746</v>
      </c>
      <c r="P18" s="240">
        <v>5746</v>
      </c>
      <c r="Q18" s="240">
        <v>5746</v>
      </c>
      <c r="R18" s="240">
        <v>5746</v>
      </c>
      <c r="S18" s="240">
        <v>5746</v>
      </c>
      <c r="T18" s="240">
        <v>5746</v>
      </c>
      <c r="U18" s="240">
        <v>5746</v>
      </c>
      <c r="V18" s="240">
        <v>6332</v>
      </c>
      <c r="W18" s="240">
        <v>6196</v>
      </c>
      <c r="X18" s="240">
        <v>6199</v>
      </c>
      <c r="Y18" s="240">
        <v>6293</v>
      </c>
      <c r="Z18" s="240">
        <v>7600</v>
      </c>
      <c r="AA18" s="240">
        <v>7493</v>
      </c>
      <c r="AB18" s="240">
        <v>7416</v>
      </c>
      <c r="AC18" s="240">
        <v>7696</v>
      </c>
      <c r="AD18" s="240">
        <v>7142</v>
      </c>
      <c r="AE18" s="54" t="s">
        <v>48</v>
      </c>
    </row>
    <row r="19" spans="1:31" ht="12.75" customHeight="1">
      <c r="A19" s="8"/>
      <c r="B19" s="10" t="s">
        <v>60</v>
      </c>
      <c r="C19" s="378"/>
      <c r="D19" s="378"/>
      <c r="E19" s="378">
        <v>865</v>
      </c>
      <c r="F19" s="306"/>
      <c r="G19" s="306"/>
      <c r="H19" s="306"/>
      <c r="I19" s="306"/>
      <c r="J19" s="306">
        <v>601</v>
      </c>
      <c r="K19" s="306">
        <v>601</v>
      </c>
      <c r="L19" s="306">
        <v>601</v>
      </c>
      <c r="M19" s="306">
        <v>601</v>
      </c>
      <c r="N19" s="306">
        <v>601</v>
      </c>
      <c r="O19" s="306">
        <v>601</v>
      </c>
      <c r="P19" s="306">
        <v>601</v>
      </c>
      <c r="Q19" s="306">
        <v>601</v>
      </c>
      <c r="R19" s="306">
        <v>601</v>
      </c>
      <c r="S19" s="306">
        <v>601</v>
      </c>
      <c r="T19" s="306">
        <v>610</v>
      </c>
      <c r="U19" s="306">
        <v>610</v>
      </c>
      <c r="V19" s="306">
        <v>610</v>
      </c>
      <c r="W19" s="306">
        <v>610</v>
      </c>
      <c r="X19" s="306">
        <v>610</v>
      </c>
      <c r="Y19" s="306">
        <v>610</v>
      </c>
      <c r="Z19" s="306">
        <v>610</v>
      </c>
      <c r="AA19" s="306">
        <v>610</v>
      </c>
      <c r="AB19" s="306">
        <v>610</v>
      </c>
      <c r="AC19" s="306">
        <v>610</v>
      </c>
      <c r="AD19" s="306">
        <v>610</v>
      </c>
      <c r="AE19" s="10" t="s">
        <v>60</v>
      </c>
    </row>
    <row r="20" spans="1:31" ht="12.75" customHeight="1">
      <c r="A20" s="8"/>
      <c r="B20" s="224" t="s">
        <v>50</v>
      </c>
      <c r="C20" s="383">
        <v>1939</v>
      </c>
      <c r="D20" s="383">
        <v>3069</v>
      </c>
      <c r="E20" s="383">
        <v>4086</v>
      </c>
      <c r="F20" s="249">
        <v>4098</v>
      </c>
      <c r="G20" s="249">
        <v>4235</v>
      </c>
      <c r="H20" s="249">
        <v>4235</v>
      </c>
      <c r="I20" s="249">
        <v>4235</v>
      </c>
      <c r="J20" s="249">
        <v>4235</v>
      </c>
      <c r="K20" s="249">
        <v>4233</v>
      </c>
      <c r="L20" s="249">
        <v>4145</v>
      </c>
      <c r="M20" s="249">
        <v>4331</v>
      </c>
      <c r="N20" s="249">
        <v>4364</v>
      </c>
      <c r="O20" s="249">
        <v>4346</v>
      </c>
      <c r="P20" s="249">
        <v>4358</v>
      </c>
      <c r="Q20" s="249">
        <v>4283</v>
      </c>
      <c r="R20" s="249">
        <v>4377</v>
      </c>
      <c r="S20" s="249">
        <v>4370</v>
      </c>
      <c r="T20" s="249">
        <v>4328</v>
      </c>
      <c r="U20" s="249">
        <v>4336</v>
      </c>
      <c r="V20" s="249">
        <v>4359</v>
      </c>
      <c r="W20" s="249">
        <v>4360</v>
      </c>
      <c r="X20" s="249">
        <v>4291</v>
      </c>
      <c r="Y20" s="249">
        <v>4291</v>
      </c>
      <c r="Z20" s="249">
        <v>4290</v>
      </c>
      <c r="AA20" s="249">
        <v>4290</v>
      </c>
      <c r="AB20" s="249">
        <v>4303</v>
      </c>
      <c r="AC20" s="249">
        <v>4308</v>
      </c>
      <c r="AD20" s="249">
        <v>4022</v>
      </c>
      <c r="AE20" s="224" t="s">
        <v>50</v>
      </c>
    </row>
    <row r="21" spans="1:31" ht="12.75" customHeight="1">
      <c r="A21" s="8"/>
      <c r="B21" s="10" t="s">
        <v>29</v>
      </c>
      <c r="C21" s="378" t="s">
        <v>59</v>
      </c>
      <c r="D21" s="378" t="s">
        <v>59</v>
      </c>
      <c r="E21" s="378" t="s">
        <v>59</v>
      </c>
      <c r="F21" s="306" t="s">
        <v>59</v>
      </c>
      <c r="G21" s="306" t="s">
        <v>59</v>
      </c>
      <c r="H21" s="306" t="s">
        <v>59</v>
      </c>
      <c r="I21" s="306" t="s">
        <v>59</v>
      </c>
      <c r="J21" s="306" t="s">
        <v>59</v>
      </c>
      <c r="K21" s="306" t="s">
        <v>59</v>
      </c>
      <c r="L21" s="306" t="s">
        <v>59</v>
      </c>
      <c r="M21" s="306" t="s">
        <v>59</v>
      </c>
      <c r="N21" s="306" t="s">
        <v>59</v>
      </c>
      <c r="O21" s="306" t="s">
        <v>59</v>
      </c>
      <c r="P21" s="306" t="s">
        <v>59</v>
      </c>
      <c r="Q21" s="306" t="s">
        <v>59</v>
      </c>
      <c r="R21" s="306" t="s">
        <v>59</v>
      </c>
      <c r="S21" s="306" t="s">
        <v>59</v>
      </c>
      <c r="T21" s="306" t="s">
        <v>59</v>
      </c>
      <c r="U21" s="306" t="s">
        <v>59</v>
      </c>
      <c r="V21" s="306" t="s">
        <v>59</v>
      </c>
      <c r="W21" s="306" t="s">
        <v>59</v>
      </c>
      <c r="X21" s="306" t="s">
        <v>59</v>
      </c>
      <c r="Y21" s="306" t="s">
        <v>59</v>
      </c>
      <c r="Z21" s="306" t="s">
        <v>59</v>
      </c>
      <c r="AA21" s="306" t="s">
        <v>59</v>
      </c>
      <c r="AB21" s="306" t="s">
        <v>59</v>
      </c>
      <c r="AC21" s="306" t="s">
        <v>59</v>
      </c>
      <c r="AD21" s="306" t="s">
        <v>59</v>
      </c>
      <c r="AE21" s="10" t="s">
        <v>29</v>
      </c>
    </row>
    <row r="22" spans="1:31" ht="12.75" customHeight="1">
      <c r="A22" s="8"/>
      <c r="B22" s="224" t="s">
        <v>33</v>
      </c>
      <c r="C22" s="383" t="s">
        <v>57</v>
      </c>
      <c r="D22" s="383" t="s">
        <v>57</v>
      </c>
      <c r="E22" s="383">
        <v>766</v>
      </c>
      <c r="F22" s="249">
        <v>766</v>
      </c>
      <c r="G22" s="249">
        <v>766</v>
      </c>
      <c r="H22" s="249">
        <v>755</v>
      </c>
      <c r="I22" s="249">
        <v>766</v>
      </c>
      <c r="J22" s="249">
        <v>766</v>
      </c>
      <c r="K22" s="249">
        <v>766</v>
      </c>
      <c r="L22" s="249">
        <v>766</v>
      </c>
      <c r="M22" s="249">
        <v>766</v>
      </c>
      <c r="N22" s="249">
        <v>766</v>
      </c>
      <c r="O22" s="249">
        <v>766</v>
      </c>
      <c r="P22" s="249">
        <v>766</v>
      </c>
      <c r="Q22" s="249">
        <v>766</v>
      </c>
      <c r="R22" s="249">
        <v>766</v>
      </c>
      <c r="S22" s="249">
        <v>766</v>
      </c>
      <c r="T22" s="249">
        <v>860</v>
      </c>
      <c r="U22" s="249">
        <v>860</v>
      </c>
      <c r="V22" s="249">
        <v>417</v>
      </c>
      <c r="W22" s="249">
        <v>417</v>
      </c>
      <c r="X22" s="249">
        <v>417</v>
      </c>
      <c r="Y22" s="249">
        <v>417</v>
      </c>
      <c r="Z22" s="249">
        <v>417</v>
      </c>
      <c r="AA22" s="249">
        <v>417</v>
      </c>
      <c r="AB22" s="249">
        <v>417</v>
      </c>
      <c r="AC22" s="249">
        <v>417</v>
      </c>
      <c r="AD22" s="249">
        <v>417</v>
      </c>
      <c r="AE22" s="224" t="s">
        <v>33</v>
      </c>
    </row>
    <row r="23" spans="1:31" ht="12.75" customHeight="1">
      <c r="A23" s="8"/>
      <c r="B23" s="10" t="s">
        <v>34</v>
      </c>
      <c r="C23" s="378" t="s">
        <v>57</v>
      </c>
      <c r="D23" s="378" t="s">
        <v>57</v>
      </c>
      <c r="E23" s="378"/>
      <c r="F23" s="306"/>
      <c r="G23" s="306"/>
      <c r="H23" s="306"/>
      <c r="I23" s="306"/>
      <c r="J23" s="306">
        <v>400</v>
      </c>
      <c r="K23" s="306">
        <v>399</v>
      </c>
      <c r="L23" s="306">
        <v>399</v>
      </c>
      <c r="M23" s="306">
        <v>399</v>
      </c>
      <c r="N23" s="306">
        <v>500</v>
      </c>
      <c r="O23" s="306">
        <v>500</v>
      </c>
      <c r="P23" s="306">
        <v>500</v>
      </c>
      <c r="Q23" s="306">
        <v>500</v>
      </c>
      <c r="R23" s="306">
        <v>500</v>
      </c>
      <c r="S23" s="306">
        <v>500</v>
      </c>
      <c r="T23" s="306">
        <v>500</v>
      </c>
      <c r="U23" s="306">
        <v>500</v>
      </c>
      <c r="V23" s="306">
        <v>500</v>
      </c>
      <c r="W23" s="306">
        <v>500</v>
      </c>
      <c r="X23" s="306">
        <v>500</v>
      </c>
      <c r="Y23" s="306">
        <v>500</v>
      </c>
      <c r="Z23" s="306">
        <v>500</v>
      </c>
      <c r="AA23" s="306">
        <v>500</v>
      </c>
      <c r="AB23" s="306">
        <v>500</v>
      </c>
      <c r="AC23" s="306">
        <v>500</v>
      </c>
      <c r="AD23" s="306">
        <v>500</v>
      </c>
      <c r="AE23" s="10" t="s">
        <v>34</v>
      </c>
    </row>
    <row r="24" spans="1:31" ht="12.75" customHeight="1">
      <c r="A24" s="8"/>
      <c r="B24" s="224" t="s">
        <v>51</v>
      </c>
      <c r="C24" s="383" t="s">
        <v>59</v>
      </c>
      <c r="D24" s="383" t="s">
        <v>59</v>
      </c>
      <c r="E24" s="383" t="s">
        <v>59</v>
      </c>
      <c r="F24" s="249" t="s">
        <v>59</v>
      </c>
      <c r="G24" s="249" t="s">
        <v>59</v>
      </c>
      <c r="H24" s="249" t="s">
        <v>59</v>
      </c>
      <c r="I24" s="249" t="s">
        <v>59</v>
      </c>
      <c r="J24" s="249" t="s">
        <v>59</v>
      </c>
      <c r="K24" s="249" t="s">
        <v>59</v>
      </c>
      <c r="L24" s="249" t="s">
        <v>59</v>
      </c>
      <c r="M24" s="249" t="s">
        <v>59</v>
      </c>
      <c r="N24" s="249" t="s">
        <v>59</v>
      </c>
      <c r="O24" s="249" t="s">
        <v>59</v>
      </c>
      <c r="P24" s="249" t="s">
        <v>59</v>
      </c>
      <c r="Q24" s="249" t="s">
        <v>59</v>
      </c>
      <c r="R24" s="249" t="s">
        <v>59</v>
      </c>
      <c r="S24" s="249" t="s">
        <v>59</v>
      </c>
      <c r="T24" s="249" t="s">
        <v>59</v>
      </c>
      <c r="U24" s="249" t="s">
        <v>59</v>
      </c>
      <c r="V24" s="249" t="s">
        <v>59</v>
      </c>
      <c r="W24" s="249" t="s">
        <v>59</v>
      </c>
      <c r="X24" s="249" t="s">
        <v>59</v>
      </c>
      <c r="Y24" s="249" t="s">
        <v>59</v>
      </c>
      <c r="Z24" s="249" t="s">
        <v>59</v>
      </c>
      <c r="AA24" s="249" t="s">
        <v>59</v>
      </c>
      <c r="AB24" s="249" t="s">
        <v>59</v>
      </c>
      <c r="AC24" s="249" t="s">
        <v>59</v>
      </c>
      <c r="AD24" s="249" t="s">
        <v>59</v>
      </c>
      <c r="AE24" s="224" t="s">
        <v>51</v>
      </c>
    </row>
    <row r="25" spans="1:31" ht="12.75" customHeight="1">
      <c r="A25" s="8"/>
      <c r="B25" s="10" t="s">
        <v>32</v>
      </c>
      <c r="C25" s="378" t="s">
        <v>57</v>
      </c>
      <c r="D25" s="378">
        <v>1067</v>
      </c>
      <c r="E25" s="378">
        <v>2574</v>
      </c>
      <c r="F25" s="306">
        <v>2574</v>
      </c>
      <c r="G25" s="306">
        <v>2483</v>
      </c>
      <c r="H25" s="306">
        <v>2071</v>
      </c>
      <c r="I25" s="306">
        <v>2071</v>
      </c>
      <c r="J25" s="306">
        <v>2071</v>
      </c>
      <c r="K25" s="306">
        <v>2071</v>
      </c>
      <c r="L25" s="306">
        <v>848</v>
      </c>
      <c r="M25" s="306">
        <v>848</v>
      </c>
      <c r="N25" s="306">
        <v>2041</v>
      </c>
      <c r="O25" s="306">
        <v>2061</v>
      </c>
      <c r="P25" s="306">
        <v>2047</v>
      </c>
      <c r="Q25" s="306">
        <v>2047</v>
      </c>
      <c r="R25" s="306">
        <v>2047</v>
      </c>
      <c r="S25" s="306">
        <v>2031</v>
      </c>
      <c r="T25" s="306">
        <v>2032</v>
      </c>
      <c r="U25" s="306">
        <v>2032</v>
      </c>
      <c r="V25" s="306">
        <v>2209</v>
      </c>
      <c r="W25" s="306">
        <v>2206</v>
      </c>
      <c r="X25" s="306">
        <v>2207</v>
      </c>
      <c r="Y25" s="306">
        <v>2209</v>
      </c>
      <c r="Z25" s="306">
        <v>2215</v>
      </c>
      <c r="AA25" s="306">
        <v>2214.7</v>
      </c>
      <c r="AB25" s="306">
        <v>2217</v>
      </c>
      <c r="AC25" s="306">
        <v>2214.6</v>
      </c>
      <c r="AD25" s="306">
        <v>2214.6</v>
      </c>
      <c r="AE25" s="10" t="s">
        <v>32</v>
      </c>
    </row>
    <row r="26" spans="1:31" ht="12.75" customHeight="1">
      <c r="A26" s="8"/>
      <c r="B26" s="224" t="s">
        <v>35</v>
      </c>
      <c r="C26" s="383" t="s">
        <v>59</v>
      </c>
      <c r="D26" s="383" t="s">
        <v>59</v>
      </c>
      <c r="E26" s="383" t="s">
        <v>59</v>
      </c>
      <c r="F26" s="249" t="s">
        <v>59</v>
      </c>
      <c r="G26" s="249" t="s">
        <v>59</v>
      </c>
      <c r="H26" s="249" t="s">
        <v>59</v>
      </c>
      <c r="I26" s="249" t="s">
        <v>59</v>
      </c>
      <c r="J26" s="249" t="s">
        <v>59</v>
      </c>
      <c r="K26" s="249" t="s">
        <v>59</v>
      </c>
      <c r="L26" s="249" t="s">
        <v>59</v>
      </c>
      <c r="M26" s="249" t="s">
        <v>59</v>
      </c>
      <c r="N26" s="249" t="s">
        <v>59</v>
      </c>
      <c r="O26" s="249" t="s">
        <v>59</v>
      </c>
      <c r="P26" s="249" t="s">
        <v>59</v>
      </c>
      <c r="Q26" s="249" t="s">
        <v>59</v>
      </c>
      <c r="R26" s="249" t="s">
        <v>59</v>
      </c>
      <c r="S26" s="249" t="s">
        <v>59</v>
      </c>
      <c r="T26" s="249" t="s">
        <v>59</v>
      </c>
      <c r="U26" s="249" t="s">
        <v>59</v>
      </c>
      <c r="V26" s="249" t="s">
        <v>59</v>
      </c>
      <c r="W26" s="249" t="s">
        <v>59</v>
      </c>
      <c r="X26" s="249" t="s">
        <v>59</v>
      </c>
      <c r="Y26" s="249" t="s">
        <v>59</v>
      </c>
      <c r="Z26" s="249" t="s">
        <v>59</v>
      </c>
      <c r="AA26" s="249" t="s">
        <v>59</v>
      </c>
      <c r="AB26" s="249" t="s">
        <v>59</v>
      </c>
      <c r="AC26" s="249" t="s">
        <v>59</v>
      </c>
      <c r="AD26" s="249" t="s">
        <v>59</v>
      </c>
      <c r="AE26" s="224" t="s">
        <v>35</v>
      </c>
    </row>
    <row r="27" spans="1:31" ht="12.75" customHeight="1">
      <c r="A27" s="8"/>
      <c r="B27" s="10" t="s">
        <v>43</v>
      </c>
      <c r="C27" s="378">
        <v>323</v>
      </c>
      <c r="D27" s="378">
        <v>391</v>
      </c>
      <c r="E27" s="378">
        <v>391</v>
      </c>
      <c r="F27" s="306">
        <v>391</v>
      </c>
      <c r="G27" s="306">
        <v>391</v>
      </c>
      <c r="H27" s="306">
        <v>391</v>
      </c>
      <c r="I27" s="306">
        <v>391</v>
      </c>
      <c r="J27" s="306">
        <v>391</v>
      </c>
      <c r="K27" s="306">
        <v>391</v>
      </c>
      <c r="L27" s="306">
        <v>391</v>
      </c>
      <c r="M27" s="306">
        <v>391</v>
      </c>
      <c r="N27" s="306">
        <v>391</v>
      </c>
      <c r="O27" s="306">
        <v>391</v>
      </c>
      <c r="P27" s="306">
        <v>391</v>
      </c>
      <c r="Q27" s="306">
        <v>391</v>
      </c>
      <c r="R27" s="306">
        <v>391</v>
      </c>
      <c r="S27" s="306">
        <v>391</v>
      </c>
      <c r="T27" s="306">
        <v>391</v>
      </c>
      <c r="U27" s="306">
        <v>391</v>
      </c>
      <c r="V27" s="306">
        <v>391</v>
      </c>
      <c r="W27" s="306">
        <v>391</v>
      </c>
      <c r="X27" s="306">
        <v>391</v>
      </c>
      <c r="Y27" s="306">
        <v>391</v>
      </c>
      <c r="Z27" s="306">
        <v>391</v>
      </c>
      <c r="AA27" s="306">
        <v>391</v>
      </c>
      <c r="AB27" s="306">
        <v>391</v>
      </c>
      <c r="AC27" s="306">
        <v>391</v>
      </c>
      <c r="AD27" s="306">
        <v>391</v>
      </c>
      <c r="AE27" s="10" t="s">
        <v>43</v>
      </c>
    </row>
    <row r="28" spans="1:31" ht="12.75" customHeight="1">
      <c r="A28" s="8"/>
      <c r="B28" s="224" t="s">
        <v>52</v>
      </c>
      <c r="C28" s="383">
        <v>604</v>
      </c>
      <c r="D28" s="383">
        <v>777</v>
      </c>
      <c r="E28" s="383">
        <v>777</v>
      </c>
      <c r="F28" s="249">
        <v>777</v>
      </c>
      <c r="G28" s="249">
        <v>777</v>
      </c>
      <c r="H28" s="249">
        <v>777</v>
      </c>
      <c r="I28" s="249">
        <v>777</v>
      </c>
      <c r="J28" s="249">
        <v>777</v>
      </c>
      <c r="K28" s="249">
        <v>777</v>
      </c>
      <c r="L28" s="249">
        <v>777</v>
      </c>
      <c r="M28" s="249">
        <v>777</v>
      </c>
      <c r="N28" s="249">
        <v>777</v>
      </c>
      <c r="O28" s="249">
        <v>777</v>
      </c>
      <c r="P28" s="249">
        <v>777</v>
      </c>
      <c r="Q28" s="249">
        <v>777</v>
      </c>
      <c r="R28" s="249">
        <v>777</v>
      </c>
      <c r="S28" s="249">
        <v>777</v>
      </c>
      <c r="T28" s="249">
        <v>777</v>
      </c>
      <c r="U28" s="249">
        <v>1214</v>
      </c>
      <c r="V28" s="249">
        <v>1214</v>
      </c>
      <c r="W28" s="249">
        <v>1214</v>
      </c>
      <c r="X28" s="249">
        <v>1214</v>
      </c>
      <c r="Y28" s="249">
        <v>1214</v>
      </c>
      <c r="Z28" s="249">
        <v>1214</v>
      </c>
      <c r="AA28" s="249">
        <v>1214</v>
      </c>
      <c r="AB28" s="249">
        <v>1214</v>
      </c>
      <c r="AC28" s="249">
        <v>1214</v>
      </c>
      <c r="AD28" s="289">
        <v>1214</v>
      </c>
      <c r="AE28" s="224" t="s">
        <v>52</v>
      </c>
    </row>
    <row r="29" spans="1:31" ht="12.75" customHeight="1">
      <c r="A29" s="8"/>
      <c r="B29" s="10" t="s">
        <v>36</v>
      </c>
      <c r="C29" s="378" t="s">
        <v>57</v>
      </c>
      <c r="D29" s="378">
        <v>1975</v>
      </c>
      <c r="E29" s="378">
        <v>2039</v>
      </c>
      <c r="F29" s="306">
        <v>2040</v>
      </c>
      <c r="G29" s="306">
        <v>2192</v>
      </c>
      <c r="H29" s="306">
        <v>2192</v>
      </c>
      <c r="I29" s="306">
        <v>2278</v>
      </c>
      <c r="J29" s="306">
        <v>2278</v>
      </c>
      <c r="K29" s="306">
        <v>2278</v>
      </c>
      <c r="L29" s="306">
        <v>2278</v>
      </c>
      <c r="M29" s="306">
        <v>2278</v>
      </c>
      <c r="N29" s="306">
        <v>2278</v>
      </c>
      <c r="O29" s="306">
        <v>2278</v>
      </c>
      <c r="P29" s="306">
        <v>2285</v>
      </c>
      <c r="Q29" s="306">
        <v>2286</v>
      </c>
      <c r="R29" s="306">
        <v>2293</v>
      </c>
      <c r="S29" s="306">
        <v>2278</v>
      </c>
      <c r="T29" s="306">
        <v>2278</v>
      </c>
      <c r="U29" s="306">
        <v>2278</v>
      </c>
      <c r="V29" s="306">
        <v>2278</v>
      </c>
      <c r="W29" s="306">
        <v>2278</v>
      </c>
      <c r="X29" s="306">
        <v>2360</v>
      </c>
      <c r="Y29" s="306">
        <v>2362</v>
      </c>
      <c r="Z29" s="306">
        <v>2444</v>
      </c>
      <c r="AA29" s="306">
        <v>2444</v>
      </c>
      <c r="AB29" s="306">
        <v>2444</v>
      </c>
      <c r="AC29" s="306">
        <v>2483</v>
      </c>
      <c r="AD29" s="306">
        <v>2483</v>
      </c>
      <c r="AE29" s="10" t="s">
        <v>36</v>
      </c>
    </row>
    <row r="30" spans="1:31" ht="12.75" customHeight="1">
      <c r="A30" s="8"/>
      <c r="B30" s="224" t="s">
        <v>53</v>
      </c>
      <c r="C30" s="383" t="s">
        <v>59</v>
      </c>
      <c r="D30" s="383" t="s">
        <v>59</v>
      </c>
      <c r="E30" s="383" t="s">
        <v>59</v>
      </c>
      <c r="F30" s="249" t="s">
        <v>59</v>
      </c>
      <c r="G30" s="249" t="s">
        <v>59</v>
      </c>
      <c r="H30" s="249" t="s">
        <v>59</v>
      </c>
      <c r="I30" s="249" t="s">
        <v>59</v>
      </c>
      <c r="J30" s="249" t="s">
        <v>59</v>
      </c>
      <c r="K30" s="249" t="s">
        <v>59</v>
      </c>
      <c r="L30" s="249">
        <v>147</v>
      </c>
      <c r="M30" s="249">
        <v>147</v>
      </c>
      <c r="N30" s="249">
        <v>147</v>
      </c>
      <c r="O30" s="249">
        <v>147</v>
      </c>
      <c r="P30" s="249">
        <v>147</v>
      </c>
      <c r="Q30" s="249">
        <v>147</v>
      </c>
      <c r="R30" s="249">
        <v>147</v>
      </c>
      <c r="S30" s="249">
        <v>147</v>
      </c>
      <c r="T30" s="249">
        <v>147</v>
      </c>
      <c r="U30" s="249">
        <v>147</v>
      </c>
      <c r="V30" s="249">
        <v>147</v>
      </c>
      <c r="W30" s="249">
        <v>147</v>
      </c>
      <c r="X30" s="249">
        <v>147</v>
      </c>
      <c r="Y30" s="249">
        <v>147</v>
      </c>
      <c r="Z30" s="249">
        <v>147</v>
      </c>
      <c r="AA30" s="249">
        <v>147</v>
      </c>
      <c r="AB30" s="249">
        <v>147</v>
      </c>
      <c r="AC30" s="249">
        <v>147</v>
      </c>
      <c r="AD30" s="249">
        <v>147</v>
      </c>
      <c r="AE30" s="224" t="s">
        <v>53</v>
      </c>
    </row>
    <row r="31" spans="1:31" ht="12.75" customHeight="1">
      <c r="A31" s="8"/>
      <c r="B31" s="10" t="s">
        <v>37</v>
      </c>
      <c r="C31" s="378" t="s">
        <v>57</v>
      </c>
      <c r="D31" s="378" t="s">
        <v>57</v>
      </c>
      <c r="E31" s="378">
        <v>3694</v>
      </c>
      <c r="F31" s="306"/>
      <c r="G31" s="306"/>
      <c r="H31" s="306"/>
      <c r="I31" s="306">
        <v>4468</v>
      </c>
      <c r="J31" s="306">
        <v>4479</v>
      </c>
      <c r="K31" s="306">
        <v>4479</v>
      </c>
      <c r="L31" s="306">
        <v>5626</v>
      </c>
      <c r="M31" s="306">
        <v>5626</v>
      </c>
      <c r="N31" s="306">
        <v>5221</v>
      </c>
      <c r="O31" s="306">
        <v>5221</v>
      </c>
      <c r="P31" s="306">
        <v>5221</v>
      </c>
      <c r="Q31" s="306">
        <v>4909</v>
      </c>
      <c r="R31" s="306">
        <v>5209</v>
      </c>
      <c r="S31" s="306">
        <v>4254</v>
      </c>
      <c r="T31" s="306">
        <v>5356</v>
      </c>
      <c r="U31" s="306">
        <v>5332</v>
      </c>
      <c r="V31" s="306">
        <v>5268</v>
      </c>
      <c r="W31" s="306">
        <v>5268</v>
      </c>
      <c r="X31" s="306">
        <v>5260</v>
      </c>
      <c r="Y31" s="306">
        <v>5260</v>
      </c>
      <c r="Z31" s="398">
        <v>3346</v>
      </c>
      <c r="AA31" s="306">
        <v>2951</v>
      </c>
      <c r="AB31" s="306">
        <v>2951</v>
      </c>
      <c r="AC31" s="306">
        <v>3048</v>
      </c>
      <c r="AD31" s="306">
        <v>2715</v>
      </c>
      <c r="AE31" s="10" t="s">
        <v>37</v>
      </c>
    </row>
    <row r="32" spans="1:31" ht="12.75" customHeight="1">
      <c r="A32" s="8"/>
      <c r="B32" s="224" t="s">
        <v>39</v>
      </c>
      <c r="C32" s="383" t="s">
        <v>59</v>
      </c>
      <c r="D32" s="383" t="s">
        <v>59</v>
      </c>
      <c r="E32" s="383" t="s">
        <v>59</v>
      </c>
      <c r="F32" s="249" t="s">
        <v>59</v>
      </c>
      <c r="G32" s="249" t="s">
        <v>59</v>
      </c>
      <c r="H32" s="249" t="s">
        <v>59</v>
      </c>
      <c r="I32" s="249" t="s">
        <v>59</v>
      </c>
      <c r="J32" s="249" t="s">
        <v>59</v>
      </c>
      <c r="K32" s="249" t="s">
        <v>59</v>
      </c>
      <c r="L32" s="249" t="s">
        <v>59</v>
      </c>
      <c r="M32" s="249" t="s">
        <v>59</v>
      </c>
      <c r="N32" s="249" t="s">
        <v>59</v>
      </c>
      <c r="O32" s="249" t="s">
        <v>59</v>
      </c>
      <c r="P32" s="249" t="s">
        <v>59</v>
      </c>
      <c r="Q32" s="249" t="s">
        <v>59</v>
      </c>
      <c r="R32" s="249" t="s">
        <v>59</v>
      </c>
      <c r="S32" s="249" t="s">
        <v>59</v>
      </c>
      <c r="T32" s="249" t="s">
        <v>59</v>
      </c>
      <c r="U32" s="249" t="s">
        <v>59</v>
      </c>
      <c r="V32" s="249" t="s">
        <v>59</v>
      </c>
      <c r="W32" s="249" t="s">
        <v>59</v>
      </c>
      <c r="X32" s="249" t="s">
        <v>59</v>
      </c>
      <c r="Y32" s="249" t="s">
        <v>59</v>
      </c>
      <c r="Z32" s="249" t="s">
        <v>59</v>
      </c>
      <c r="AA32" s="249" t="s">
        <v>59</v>
      </c>
      <c r="AB32" s="249" t="s">
        <v>59</v>
      </c>
      <c r="AC32" s="249" t="s">
        <v>59</v>
      </c>
      <c r="AD32" s="249" t="s">
        <v>59</v>
      </c>
      <c r="AE32" s="224" t="s">
        <v>39</v>
      </c>
    </row>
    <row r="33" spans="1:31" ht="12.75" customHeight="1">
      <c r="A33" s="8"/>
      <c r="B33" s="10" t="s">
        <v>38</v>
      </c>
      <c r="C33" s="378"/>
      <c r="D33" s="378"/>
      <c r="E33" s="378"/>
      <c r="F33" s="306"/>
      <c r="G33" s="306"/>
      <c r="H33" s="306">
        <v>515</v>
      </c>
      <c r="I33" s="306">
        <v>515</v>
      </c>
      <c r="J33" s="306">
        <v>515</v>
      </c>
      <c r="K33" s="306">
        <v>515</v>
      </c>
      <c r="L33" s="306">
        <v>515</v>
      </c>
      <c r="M33" s="306">
        <v>515</v>
      </c>
      <c r="N33" s="306">
        <v>515</v>
      </c>
      <c r="O33" s="306">
        <v>515</v>
      </c>
      <c r="P33" s="306">
        <v>515</v>
      </c>
      <c r="Q33" s="306">
        <v>515</v>
      </c>
      <c r="R33" s="306">
        <v>515</v>
      </c>
      <c r="S33" s="306">
        <v>515</v>
      </c>
      <c r="T33" s="306">
        <v>515</v>
      </c>
      <c r="U33" s="306">
        <v>515</v>
      </c>
      <c r="V33" s="306">
        <v>515</v>
      </c>
      <c r="W33" s="370">
        <v>515</v>
      </c>
      <c r="X33" s="306">
        <v>509</v>
      </c>
      <c r="Y33" s="306">
        <v>510</v>
      </c>
      <c r="Z33" s="306">
        <v>510</v>
      </c>
      <c r="AA33" s="306">
        <v>510</v>
      </c>
      <c r="AB33" s="306">
        <v>510</v>
      </c>
      <c r="AC33" s="306">
        <v>506</v>
      </c>
      <c r="AD33" s="306">
        <v>506</v>
      </c>
      <c r="AE33" s="10" t="s">
        <v>38</v>
      </c>
    </row>
    <row r="34" spans="1:31" ht="12.75" customHeight="1">
      <c r="A34" s="8"/>
      <c r="B34" s="224" t="s">
        <v>54</v>
      </c>
      <c r="C34" s="383" t="s">
        <v>59</v>
      </c>
      <c r="D34" s="383" t="s">
        <v>59</v>
      </c>
      <c r="E34" s="383" t="s">
        <v>59</v>
      </c>
      <c r="F34" s="249" t="s">
        <v>59</v>
      </c>
      <c r="G34" s="249" t="s">
        <v>59</v>
      </c>
      <c r="H34" s="249" t="s">
        <v>59</v>
      </c>
      <c r="I34" s="249" t="s">
        <v>59</v>
      </c>
      <c r="J34" s="249" t="s">
        <v>59</v>
      </c>
      <c r="K34" s="249" t="s">
        <v>59</v>
      </c>
      <c r="L34" s="249" t="s">
        <v>59</v>
      </c>
      <c r="M34" s="249" t="s">
        <v>59</v>
      </c>
      <c r="N34" s="249" t="s">
        <v>59</v>
      </c>
      <c r="O34" s="249" t="s">
        <v>59</v>
      </c>
      <c r="P34" s="249" t="s">
        <v>59</v>
      </c>
      <c r="Q34" s="249" t="s">
        <v>59</v>
      </c>
      <c r="R34" s="249" t="s">
        <v>59</v>
      </c>
      <c r="S34" s="249" t="s">
        <v>59</v>
      </c>
      <c r="T34" s="249" t="s">
        <v>59</v>
      </c>
      <c r="U34" s="249" t="s">
        <v>59</v>
      </c>
      <c r="V34" s="249" t="s">
        <v>59</v>
      </c>
      <c r="W34" s="249" t="s">
        <v>59</v>
      </c>
      <c r="X34" s="249" t="s">
        <v>59</v>
      </c>
      <c r="Y34" s="249" t="s">
        <v>59</v>
      </c>
      <c r="Z34" s="249" t="s">
        <v>59</v>
      </c>
      <c r="AA34" s="249" t="s">
        <v>59</v>
      </c>
      <c r="AB34" s="249" t="s">
        <v>59</v>
      </c>
      <c r="AC34" s="249" t="s">
        <v>59</v>
      </c>
      <c r="AD34" s="249" t="s">
        <v>59</v>
      </c>
      <c r="AE34" s="224" t="s">
        <v>54</v>
      </c>
    </row>
    <row r="35" spans="1:31" ht="12.75" customHeight="1">
      <c r="A35" s="8"/>
      <c r="B35" s="10" t="s">
        <v>55</v>
      </c>
      <c r="C35" s="378" t="s">
        <v>59</v>
      </c>
      <c r="D35" s="378" t="s">
        <v>59</v>
      </c>
      <c r="E35" s="378" t="s">
        <v>59</v>
      </c>
      <c r="F35" s="306" t="s">
        <v>59</v>
      </c>
      <c r="G35" s="306" t="s">
        <v>59</v>
      </c>
      <c r="H35" s="306" t="s">
        <v>59</v>
      </c>
      <c r="I35" s="306" t="s">
        <v>59</v>
      </c>
      <c r="J35" s="306" t="s">
        <v>59</v>
      </c>
      <c r="K35" s="306" t="s">
        <v>59</v>
      </c>
      <c r="L35" s="306" t="s">
        <v>59</v>
      </c>
      <c r="M35" s="306" t="s">
        <v>59</v>
      </c>
      <c r="N35" s="306" t="s">
        <v>59</v>
      </c>
      <c r="O35" s="306" t="s">
        <v>59</v>
      </c>
      <c r="P35" s="306" t="s">
        <v>59</v>
      </c>
      <c r="Q35" s="306" t="s">
        <v>59</v>
      </c>
      <c r="R35" s="306" t="s">
        <v>59</v>
      </c>
      <c r="S35" s="306" t="s">
        <v>59</v>
      </c>
      <c r="T35" s="306" t="s">
        <v>59</v>
      </c>
      <c r="U35" s="306" t="s">
        <v>59</v>
      </c>
      <c r="V35" s="306" t="s">
        <v>59</v>
      </c>
      <c r="W35" s="306" t="s">
        <v>59</v>
      </c>
      <c r="X35" s="306" t="s">
        <v>59</v>
      </c>
      <c r="Y35" s="306" t="s">
        <v>59</v>
      </c>
      <c r="Z35" s="306" t="s">
        <v>59</v>
      </c>
      <c r="AA35" s="306" t="s">
        <v>59</v>
      </c>
      <c r="AB35" s="306" t="s">
        <v>59</v>
      </c>
      <c r="AC35" s="306" t="s">
        <v>59</v>
      </c>
      <c r="AD35" s="306" t="s">
        <v>59</v>
      </c>
      <c r="AE35" s="10" t="s">
        <v>55</v>
      </c>
    </row>
    <row r="36" spans="1:31" ht="12.75" customHeight="1">
      <c r="A36" s="8"/>
      <c r="B36" s="224" t="s">
        <v>44</v>
      </c>
      <c r="C36" s="383">
        <v>1634</v>
      </c>
      <c r="D36" s="383">
        <v>3166</v>
      </c>
      <c r="E36" s="383">
        <v>2462</v>
      </c>
      <c r="F36" s="249">
        <v>2650</v>
      </c>
      <c r="G36" s="249">
        <v>2762</v>
      </c>
      <c r="H36" s="249">
        <v>3086</v>
      </c>
      <c r="I36" s="249">
        <v>2996</v>
      </c>
      <c r="J36" s="249">
        <v>3470</v>
      </c>
      <c r="K36" s="249">
        <v>3459</v>
      </c>
      <c r="L36" s="249">
        <v>3936</v>
      </c>
      <c r="M36" s="249">
        <v>3953</v>
      </c>
      <c r="N36" s="249">
        <v>3923</v>
      </c>
      <c r="O36" s="249">
        <v>3954</v>
      </c>
      <c r="P36" s="249">
        <v>4368</v>
      </c>
      <c r="Q36" s="249">
        <v>4367</v>
      </c>
      <c r="R36" s="249">
        <v>4325</v>
      </c>
      <c r="S36" s="249">
        <v>4405</v>
      </c>
      <c r="T36" s="249">
        <v>4501</v>
      </c>
      <c r="U36" s="249">
        <v>4519</v>
      </c>
      <c r="V36" s="249">
        <v>4447</v>
      </c>
      <c r="W36" s="249">
        <v>4447</v>
      </c>
      <c r="X36" s="249">
        <v>4447</v>
      </c>
      <c r="Y36" s="249">
        <v>4446</v>
      </c>
      <c r="Z36" s="249">
        <v>4446</v>
      </c>
      <c r="AA36" s="249">
        <v>4446</v>
      </c>
      <c r="AB36" s="289">
        <v>4446</v>
      </c>
      <c r="AC36" s="289">
        <v>4446</v>
      </c>
      <c r="AD36" s="289">
        <v>4446</v>
      </c>
      <c r="AE36" s="224" t="s">
        <v>44</v>
      </c>
    </row>
    <row r="37" spans="1:31" ht="12.75" customHeight="1">
      <c r="A37" s="8"/>
      <c r="B37" s="290" t="s">
        <v>131</v>
      </c>
      <c r="C37" s="384" t="s">
        <v>59</v>
      </c>
      <c r="D37" s="384" t="s">
        <v>59</v>
      </c>
      <c r="E37" s="385" t="s">
        <v>59</v>
      </c>
      <c r="F37" s="386" t="s">
        <v>59</v>
      </c>
      <c r="G37" s="386" t="s">
        <v>59</v>
      </c>
      <c r="H37" s="386" t="s">
        <v>59</v>
      </c>
      <c r="I37" s="386" t="s">
        <v>59</v>
      </c>
      <c r="J37" s="386" t="s">
        <v>59</v>
      </c>
      <c r="K37" s="386" t="s">
        <v>59</v>
      </c>
      <c r="L37" s="386" t="s">
        <v>59</v>
      </c>
      <c r="M37" s="386" t="s">
        <v>59</v>
      </c>
      <c r="N37" s="386" t="s">
        <v>59</v>
      </c>
      <c r="O37" s="386" t="s">
        <v>59</v>
      </c>
      <c r="P37" s="386" t="s">
        <v>59</v>
      </c>
      <c r="Q37" s="386" t="s">
        <v>59</v>
      </c>
      <c r="R37" s="386" t="s">
        <v>59</v>
      </c>
      <c r="S37" s="386" t="s">
        <v>59</v>
      </c>
      <c r="T37" s="386" t="s">
        <v>59</v>
      </c>
      <c r="U37" s="386" t="s">
        <v>59</v>
      </c>
      <c r="V37" s="386" t="s">
        <v>59</v>
      </c>
      <c r="W37" s="386" t="s">
        <v>59</v>
      </c>
      <c r="X37" s="386" t="s">
        <v>59</v>
      </c>
      <c r="Y37" s="386" t="s">
        <v>59</v>
      </c>
      <c r="Z37" s="387" t="s">
        <v>59</v>
      </c>
      <c r="AA37" s="387" t="s">
        <v>59</v>
      </c>
      <c r="AB37" s="387" t="s">
        <v>59</v>
      </c>
      <c r="AC37" s="387" t="s">
        <v>59</v>
      </c>
      <c r="AD37" s="387" t="s">
        <v>59</v>
      </c>
      <c r="AE37" s="290" t="s">
        <v>131</v>
      </c>
    </row>
    <row r="38" spans="1:31" ht="12.75" customHeight="1">
      <c r="A38" s="8"/>
      <c r="B38" s="10" t="s">
        <v>129</v>
      </c>
      <c r="C38" s="378" t="s">
        <v>59</v>
      </c>
      <c r="D38" s="378" t="s">
        <v>59</v>
      </c>
      <c r="E38" s="388" t="s">
        <v>59</v>
      </c>
      <c r="F38" s="306" t="s">
        <v>59</v>
      </c>
      <c r="G38" s="306" t="s">
        <v>59</v>
      </c>
      <c r="H38" s="306" t="s">
        <v>59</v>
      </c>
      <c r="I38" s="306" t="s">
        <v>59</v>
      </c>
      <c r="J38" s="306" t="s">
        <v>59</v>
      </c>
      <c r="K38" s="306" t="s">
        <v>59</v>
      </c>
      <c r="L38" s="306" t="s">
        <v>59</v>
      </c>
      <c r="M38" s="306" t="s">
        <v>59</v>
      </c>
      <c r="N38" s="306" t="s">
        <v>59</v>
      </c>
      <c r="O38" s="306" t="s">
        <v>59</v>
      </c>
      <c r="P38" s="306" t="s">
        <v>59</v>
      </c>
      <c r="Q38" s="306" t="s">
        <v>59</v>
      </c>
      <c r="R38" s="306" t="s">
        <v>59</v>
      </c>
      <c r="S38" s="306" t="s">
        <v>59</v>
      </c>
      <c r="T38" s="306" t="s">
        <v>59</v>
      </c>
      <c r="U38" s="306" t="s">
        <v>59</v>
      </c>
      <c r="V38" s="306" t="s">
        <v>59</v>
      </c>
      <c r="W38" s="306" t="s">
        <v>59</v>
      </c>
      <c r="X38" s="306" t="s">
        <v>59</v>
      </c>
      <c r="Y38" s="306" t="s">
        <v>59</v>
      </c>
      <c r="Z38" s="306" t="s">
        <v>59</v>
      </c>
      <c r="AA38" s="306" t="s">
        <v>59</v>
      </c>
      <c r="AB38" s="306" t="s">
        <v>59</v>
      </c>
      <c r="AC38" s="306" t="s">
        <v>59</v>
      </c>
      <c r="AD38" s="306" t="s">
        <v>59</v>
      </c>
      <c r="AE38" s="10" t="s">
        <v>129</v>
      </c>
    </row>
    <row r="39" spans="1:31" ht="12.75" customHeight="1">
      <c r="A39" s="8"/>
      <c r="B39" s="224" t="s">
        <v>1</v>
      </c>
      <c r="C39" s="383"/>
      <c r="D39" s="383"/>
      <c r="E39" s="383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>
        <v>144</v>
      </c>
      <c r="R39" s="249">
        <v>144</v>
      </c>
      <c r="S39" s="249">
        <v>144</v>
      </c>
      <c r="T39" s="249">
        <v>155</v>
      </c>
      <c r="U39" s="249">
        <v>155</v>
      </c>
      <c r="V39" s="249">
        <v>155</v>
      </c>
      <c r="W39" s="249">
        <v>155</v>
      </c>
      <c r="X39" s="249">
        <v>143.6</v>
      </c>
      <c r="Y39" s="249">
        <v>143.7</v>
      </c>
      <c r="Z39" s="249">
        <v>143.6</v>
      </c>
      <c r="AA39" s="249">
        <v>143.6</v>
      </c>
      <c r="AB39" s="249" t="s">
        <v>59</v>
      </c>
      <c r="AC39" s="249" t="s">
        <v>59</v>
      </c>
      <c r="AD39" s="249" t="s">
        <v>59</v>
      </c>
      <c r="AE39" s="224" t="s">
        <v>1</v>
      </c>
    </row>
    <row r="40" spans="1:31" ht="12.75" customHeight="1">
      <c r="A40" s="8"/>
      <c r="B40" s="10" t="s">
        <v>130</v>
      </c>
      <c r="C40" s="378"/>
      <c r="D40" s="378"/>
      <c r="E40" s="378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>
        <v>374</v>
      </c>
      <c r="V40" s="306">
        <v>374</v>
      </c>
      <c r="W40" s="306">
        <v>374</v>
      </c>
      <c r="X40" s="306">
        <v>374</v>
      </c>
      <c r="Y40" s="306">
        <v>374</v>
      </c>
      <c r="Z40" s="306">
        <v>434</v>
      </c>
      <c r="AA40" s="306">
        <v>434</v>
      </c>
      <c r="AB40" s="306">
        <v>434</v>
      </c>
      <c r="AC40" s="306">
        <v>279</v>
      </c>
      <c r="AD40" s="306">
        <v>279</v>
      </c>
      <c r="AE40" s="10" t="s">
        <v>130</v>
      </c>
    </row>
    <row r="41" spans="1:31" ht="12.75" customHeight="1">
      <c r="A41" s="8"/>
      <c r="B41" s="251" t="s">
        <v>40</v>
      </c>
      <c r="C41" s="389" t="s">
        <v>57</v>
      </c>
      <c r="D41" s="389" t="s">
        <v>57</v>
      </c>
      <c r="E41" s="389" t="s">
        <v>57</v>
      </c>
      <c r="F41" s="357"/>
      <c r="G41" s="357">
        <v>1947</v>
      </c>
      <c r="H41" s="357">
        <v>1126</v>
      </c>
      <c r="I41" s="357">
        <v>1126</v>
      </c>
      <c r="J41" s="357">
        <v>1126</v>
      </c>
      <c r="K41" s="357">
        <v>2112</v>
      </c>
      <c r="L41" s="357">
        <v>2112</v>
      </c>
      <c r="M41" s="357">
        <v>2112</v>
      </c>
      <c r="N41" s="357">
        <v>2112</v>
      </c>
      <c r="O41" s="357">
        <v>2112</v>
      </c>
      <c r="P41" s="357">
        <v>2112</v>
      </c>
      <c r="Q41" s="357">
        <v>2112</v>
      </c>
      <c r="R41" s="357">
        <v>2112</v>
      </c>
      <c r="S41" s="357">
        <v>2112</v>
      </c>
      <c r="T41" s="357">
        <v>3065</v>
      </c>
      <c r="U41" s="357">
        <v>3065</v>
      </c>
      <c r="V41" s="357">
        <v>3065</v>
      </c>
      <c r="W41" s="357">
        <v>3065</v>
      </c>
      <c r="X41" s="357">
        <v>3065</v>
      </c>
      <c r="Y41" s="357">
        <v>3038</v>
      </c>
      <c r="Z41" s="357">
        <v>3038</v>
      </c>
      <c r="AA41" s="357">
        <v>3038</v>
      </c>
      <c r="AB41" s="357">
        <v>3053</v>
      </c>
      <c r="AC41" s="357">
        <v>3053</v>
      </c>
      <c r="AD41" s="357">
        <v>3053</v>
      </c>
      <c r="AE41" s="251" t="s">
        <v>40</v>
      </c>
    </row>
    <row r="42" spans="1:31" ht="12.75" customHeight="1">
      <c r="A42" s="8"/>
      <c r="B42" s="10" t="s">
        <v>26</v>
      </c>
      <c r="C42" s="378" t="s">
        <v>59</v>
      </c>
      <c r="D42" s="378" t="s">
        <v>59</v>
      </c>
      <c r="E42" s="378" t="s">
        <v>59</v>
      </c>
      <c r="F42" s="306"/>
      <c r="G42" s="306"/>
      <c r="H42" s="306" t="s">
        <v>59</v>
      </c>
      <c r="I42" s="306" t="s">
        <v>59</v>
      </c>
      <c r="J42" s="306" t="s">
        <v>59</v>
      </c>
      <c r="K42" s="306" t="s">
        <v>59</v>
      </c>
      <c r="L42" s="306" t="s">
        <v>59</v>
      </c>
      <c r="M42" s="306" t="s">
        <v>59</v>
      </c>
      <c r="N42" s="306" t="s">
        <v>59</v>
      </c>
      <c r="O42" s="306" t="s">
        <v>59</v>
      </c>
      <c r="P42" s="306" t="s">
        <v>59</v>
      </c>
      <c r="Q42" s="306" t="s">
        <v>59</v>
      </c>
      <c r="R42" s="306" t="s">
        <v>59</v>
      </c>
      <c r="S42" s="306" t="s">
        <v>59</v>
      </c>
      <c r="T42" s="306" t="s">
        <v>59</v>
      </c>
      <c r="U42" s="306" t="s">
        <v>59</v>
      </c>
      <c r="V42" s="306" t="s">
        <v>59</v>
      </c>
      <c r="W42" s="306" t="s">
        <v>59</v>
      </c>
      <c r="X42" s="306" t="s">
        <v>59</v>
      </c>
      <c r="Y42" s="306" t="s">
        <v>59</v>
      </c>
      <c r="Z42" s="306" t="s">
        <v>59</v>
      </c>
      <c r="AA42" s="306" t="s">
        <v>59</v>
      </c>
      <c r="AB42" s="306" t="s">
        <v>59</v>
      </c>
      <c r="AC42" s="306" t="s">
        <v>59</v>
      </c>
      <c r="AD42" s="306" t="s">
        <v>59</v>
      </c>
      <c r="AE42" s="9" t="s">
        <v>26</v>
      </c>
    </row>
    <row r="43" spans="1:31" ht="12.75" customHeight="1">
      <c r="A43" s="8"/>
      <c r="B43" s="224" t="s">
        <v>56</v>
      </c>
      <c r="C43" s="383" t="s">
        <v>57</v>
      </c>
      <c r="D43" s="383" t="s">
        <v>57</v>
      </c>
      <c r="E43" s="383"/>
      <c r="F43" s="249"/>
      <c r="G43" s="249"/>
      <c r="H43" s="249"/>
      <c r="I43" s="249"/>
      <c r="J43" s="249">
        <v>3701</v>
      </c>
      <c r="K43" s="249">
        <v>4249</v>
      </c>
      <c r="L43" s="249">
        <v>4553</v>
      </c>
      <c r="M43" s="249">
        <v>5747</v>
      </c>
      <c r="N43" s="249">
        <v>6827</v>
      </c>
      <c r="O43" s="249">
        <v>7908</v>
      </c>
      <c r="P43" s="249">
        <v>879</v>
      </c>
      <c r="Q43" s="249">
        <v>879</v>
      </c>
      <c r="R43" s="249">
        <v>1099</v>
      </c>
      <c r="S43" s="249">
        <v>1189</v>
      </c>
      <c r="T43" s="249">
        <v>1189</v>
      </c>
      <c r="U43" s="249">
        <v>1189</v>
      </c>
      <c r="V43" s="249">
        <v>1189</v>
      </c>
      <c r="W43" s="249">
        <v>1180</v>
      </c>
      <c r="X43" s="249">
        <v>1189</v>
      </c>
      <c r="Y43" s="249">
        <v>1260</v>
      </c>
      <c r="Z43" s="249">
        <v>1244</v>
      </c>
      <c r="AA43" s="249">
        <v>1245</v>
      </c>
      <c r="AB43" s="249">
        <v>1245</v>
      </c>
      <c r="AC43" s="249">
        <v>1245</v>
      </c>
      <c r="AD43" s="249">
        <v>1245</v>
      </c>
      <c r="AE43" s="224" t="s">
        <v>56</v>
      </c>
    </row>
    <row r="44" spans="1:31" ht="12.75" customHeight="1">
      <c r="A44" s="8"/>
      <c r="B44" s="12" t="s">
        <v>27</v>
      </c>
      <c r="C44" s="390" t="s">
        <v>57</v>
      </c>
      <c r="D44" s="390" t="s">
        <v>57</v>
      </c>
      <c r="E44" s="390">
        <v>239</v>
      </c>
      <c r="F44" s="314">
        <v>239</v>
      </c>
      <c r="G44" s="314">
        <v>239</v>
      </c>
      <c r="H44" s="314">
        <v>239</v>
      </c>
      <c r="I44" s="314">
        <v>239</v>
      </c>
      <c r="J44" s="314">
        <v>239</v>
      </c>
      <c r="K44" s="314">
        <v>239</v>
      </c>
      <c r="L44" s="314">
        <v>109</v>
      </c>
      <c r="M44" s="314">
        <v>109</v>
      </c>
      <c r="N44" s="314">
        <v>109</v>
      </c>
      <c r="O44" s="314">
        <v>109</v>
      </c>
      <c r="P44" s="314">
        <v>109</v>
      </c>
      <c r="Q44" s="314">
        <v>109</v>
      </c>
      <c r="R44" s="314">
        <v>109</v>
      </c>
      <c r="S44" s="314">
        <v>109</v>
      </c>
      <c r="T44" s="314">
        <v>109</v>
      </c>
      <c r="U44" s="314">
        <v>109</v>
      </c>
      <c r="V44" s="314">
        <v>109</v>
      </c>
      <c r="W44" s="314">
        <v>109</v>
      </c>
      <c r="X44" s="314">
        <v>109</v>
      </c>
      <c r="Y44" s="314">
        <v>109</v>
      </c>
      <c r="Z44" s="314">
        <v>109</v>
      </c>
      <c r="AA44" s="314">
        <v>109</v>
      </c>
      <c r="AB44" s="314">
        <v>109</v>
      </c>
      <c r="AC44" s="314">
        <v>109</v>
      </c>
      <c r="AD44" s="314">
        <v>109</v>
      </c>
      <c r="AE44" s="12" t="s">
        <v>27</v>
      </c>
    </row>
    <row r="45" spans="2:31" ht="15" customHeight="1">
      <c r="B45" s="469" t="s">
        <v>126</v>
      </c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</row>
    <row r="46" spans="2:31" ht="12.75" customHeight="1">
      <c r="B46" s="469" t="s">
        <v>88</v>
      </c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219"/>
      <c r="R46" s="17"/>
      <c r="S46" s="17"/>
      <c r="T46" s="17"/>
      <c r="U46" s="17"/>
      <c r="V46" s="17"/>
      <c r="W46" s="222"/>
      <c r="X46" s="222"/>
      <c r="Y46" s="17"/>
      <c r="Z46" s="17"/>
      <c r="AA46" s="17"/>
      <c r="AB46" s="17"/>
      <c r="AC46" s="17"/>
      <c r="AD46" s="17"/>
      <c r="AE46" s="17"/>
    </row>
    <row r="47" spans="2:31" ht="12.75" customHeight="1">
      <c r="B47" s="2" t="s">
        <v>105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7"/>
      <c r="V47" s="17"/>
      <c r="W47" s="222"/>
      <c r="X47" s="222"/>
      <c r="Y47" s="17"/>
      <c r="Z47" s="17"/>
      <c r="AA47" s="17"/>
      <c r="AB47" s="17"/>
      <c r="AC47" s="17"/>
      <c r="AD47" s="17"/>
      <c r="AE47" s="17"/>
    </row>
    <row r="48" spans="2:31" ht="12.75" customHeight="1">
      <c r="B48" s="185" t="s">
        <v>165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</row>
    <row r="49" spans="2:31" ht="12.75">
      <c r="B49" s="185" t="s">
        <v>166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219"/>
      <c r="X49" s="219"/>
      <c r="Y49" s="184"/>
      <c r="Z49" s="287"/>
      <c r="AA49" s="297"/>
      <c r="AB49" s="397"/>
      <c r="AC49" s="427"/>
      <c r="AD49" s="427"/>
      <c r="AE49" s="184"/>
    </row>
  </sheetData>
  <sheetProtection/>
  <mergeCells count="5">
    <mergeCell ref="B1:C1"/>
    <mergeCell ref="B46:P46"/>
    <mergeCell ref="B2:AE2"/>
    <mergeCell ref="B3:AE3"/>
    <mergeCell ref="B45:AE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MOVE A3</cp:lastModifiedBy>
  <cp:lastPrinted>2015-04-09T10:06:30Z</cp:lastPrinted>
  <dcterms:created xsi:type="dcterms:W3CDTF">2003-09-05T14:33:05Z</dcterms:created>
  <dcterms:modified xsi:type="dcterms:W3CDTF">2017-08-07T09:59:50Z</dcterms:modified>
  <cp:category/>
  <cp:version/>
  <cp:contentType/>
  <cp:contentStatus/>
</cp:coreProperties>
</file>