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185" windowWidth="14400" windowHeight="11655" tabRatio="921" firstSheet="1" activeTab="18"/>
  </bookViews>
  <sheets>
    <sheet name="T2.6" sheetId="1" r:id="rId1"/>
    <sheet name="motorisation" sheetId="2" r:id="rId2"/>
    <sheet name="stock_cars" sheetId="3" r:id="rId3"/>
    <sheet name="stock_bus" sheetId="4" r:id="rId4"/>
    <sheet name="stock_goods" sheetId="5" r:id="rId5"/>
    <sheet name="stock_mbike" sheetId="6" r:id="rId6"/>
    <sheet name="car_reg" sheetId="7" r:id="rId7"/>
    <sheet name="comm_reg" sheetId="8" r:id="rId8"/>
    <sheet name="bus_reg" sheetId="9" r:id="rId9"/>
    <sheet name="mbike_reg" sheetId="10" r:id="rId10"/>
    <sheet name="moped_del" sheetId="11" r:id="rId11"/>
    <sheet name="sea_fleet_eu" sheetId="12" r:id="rId12"/>
    <sheet name="sea_world_region" sheetId="13" r:id="rId13"/>
    <sheet name="sea_world_type" sheetId="14" r:id="rId14"/>
    <sheet name="aircraft_passeng" sheetId="15" r:id="rId15"/>
    <sheet name="aircraft_other" sheetId="16" r:id="rId16"/>
    <sheet name="stock_loco" sheetId="17" r:id="rId17"/>
    <sheet name="stock_railcar" sheetId="18" r:id="rId18"/>
    <sheet name="stock_railgood" sheetId="19" r:id="rId19"/>
  </sheets>
  <definedNames>
    <definedName name="A" localSheetId="0">'T2.6'!$A$65501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_xlnm.Print_Area" localSheetId="15">'aircraft_other'!$B$1:$H$52</definedName>
    <definedName name="_xlnm.Print_Area" localSheetId="14">'aircraft_passeng'!$B$1:$H$49</definedName>
    <definedName name="_xlnm.Print_Area" localSheetId="8">'bus_reg'!$B$1:$AO$43</definedName>
    <definedName name="_xlnm.Print_Area" localSheetId="6">'car_reg'!$B$1:$X$45</definedName>
    <definedName name="_xlnm.Print_Area" localSheetId="7">'comm_reg'!$B$1:$AF$43</definedName>
    <definedName name="_xlnm.Print_Area" localSheetId="9">'mbike_reg'!$B$1:$S$48</definedName>
    <definedName name="_xlnm.Print_Area" localSheetId="10">'moped_del'!$B$1:$T$46</definedName>
    <definedName name="_xlnm.Print_Area" localSheetId="1">'motorisation'!$A$1:$AF$46</definedName>
    <definedName name="_xlnm.Print_Area" localSheetId="11">'sea_fleet_eu'!$B$1:$K$49</definedName>
    <definedName name="_xlnm.Print_Area" localSheetId="12">'sea_world_region'!$B$1:$L$24</definedName>
    <definedName name="_xlnm.Print_Area" localSheetId="13">'sea_world_type'!$B$1:$L$41</definedName>
    <definedName name="_xlnm.Print_Area" localSheetId="3">'stock_bus'!$B$1:$Z$48</definedName>
    <definedName name="_xlnm.Print_Area" localSheetId="2">'stock_cars'!$A$1:$Z$48</definedName>
    <definedName name="_xlnm.Print_Area" localSheetId="4">'stock_goods'!$B$1:$Z$48</definedName>
    <definedName name="_xlnm.Print_Area" localSheetId="16">'stock_loco'!#REF!</definedName>
    <definedName name="_xlnm.Print_Area" localSheetId="5">'stock_mbike'!$B$1:$S$48</definedName>
    <definedName name="_xlnm.Print_Area" localSheetId="17">'stock_railcar'!$B$1:$X$46</definedName>
    <definedName name="_xlnm.Print_Area" localSheetId="18">'stock_railgood'!$B$1:$N$47</definedName>
    <definedName name="_xlnm.Print_Area" localSheetId="0">'T2.6'!$A$1:$D$33</definedName>
    <definedName name="TABLE" localSheetId="16">'stock_loco'!#REF!</definedName>
    <definedName name="TABLE_2" localSheetId="16">'stock_loco'!#REF!</definedName>
  </definedNames>
  <calcPr fullCalcOnLoad="1"/>
</workbook>
</file>

<file path=xl/sharedStrings.xml><?xml version="1.0" encoding="utf-8"?>
<sst xmlns="http://schemas.openxmlformats.org/spreadsheetml/2006/main" count="2057" uniqueCount="274">
  <si>
    <t>Notes:</t>
  </si>
  <si>
    <t>MK</t>
  </si>
  <si>
    <t>change</t>
  </si>
  <si>
    <t>thousand</t>
  </si>
  <si>
    <t>Light commercial vehicles</t>
  </si>
  <si>
    <t>Commercial Vehicles</t>
  </si>
  <si>
    <t>Heavy Commercial Vehicles</t>
  </si>
  <si>
    <t>&lt; 3.5t</t>
  </si>
  <si>
    <t>&gt; 3,5t &amp; &lt; 16t</t>
  </si>
  <si>
    <t>&gt; 16t</t>
  </si>
  <si>
    <t>Number of passenger cars per 1000 inhabitants</t>
  </si>
  <si>
    <t>Road : Passenger Cars</t>
  </si>
  <si>
    <t>Stock of vehicles</t>
  </si>
  <si>
    <t>Road : Buses and Coaches</t>
  </si>
  <si>
    <t xml:space="preserve">    Road : Goods Vehicles</t>
  </si>
  <si>
    <t>Road : Powered Two-wheelers</t>
  </si>
  <si>
    <t>Rail : Locomotives and Railcars</t>
  </si>
  <si>
    <t>Rail : Passenger Transport Vehicles</t>
  </si>
  <si>
    <t>Rail : Goods Transport Wagons</t>
  </si>
  <si>
    <t>Sea : EU Merchant Fleet</t>
  </si>
  <si>
    <t>Total fleet controlled</t>
  </si>
  <si>
    <t>Number</t>
  </si>
  <si>
    <t>mio dwt</t>
  </si>
  <si>
    <t>Sea : World Merchant Fleet</t>
  </si>
  <si>
    <t>Europe*</t>
  </si>
  <si>
    <t>North America</t>
  </si>
  <si>
    <t>Latin America</t>
  </si>
  <si>
    <t>Asia/Oceania</t>
  </si>
  <si>
    <t>Africa</t>
  </si>
  <si>
    <t>Unknown</t>
  </si>
  <si>
    <t>(ships of 300 gt and over)</t>
  </si>
  <si>
    <t>Bulk carriers</t>
  </si>
  <si>
    <t>General cargo</t>
  </si>
  <si>
    <t>(ships of 1000 gt and over)</t>
  </si>
  <si>
    <t xml:space="preserve">Passenger aircraft </t>
  </si>
  <si>
    <t>50 seats or less</t>
  </si>
  <si>
    <t>51 to 150 seats</t>
  </si>
  <si>
    <t>151 to 250 seats</t>
  </si>
  <si>
    <t>251 seats and more</t>
  </si>
  <si>
    <t>Freight / Cargo</t>
  </si>
  <si>
    <t>Quick-change convertible</t>
  </si>
  <si>
    <t xml:space="preserve">Special purpose / Ambulance </t>
  </si>
  <si>
    <t>Business / Corporate / Executive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</si>
  <si>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</si>
  <si>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</si>
  <si>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</si>
  <si>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</si>
  <si>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</si>
  <si>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</si>
  <si>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</si>
  <si>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</si>
  <si>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</si>
  <si>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</si>
  <si>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</si>
  <si>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</si>
  <si>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</si>
  <si>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</si>
  <si>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</si>
  <si>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</si>
  <si>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</si>
  <si>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</si>
  <si>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</si>
  <si>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</si>
  <si>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</si>
  <si>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</si>
  <si>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</si>
  <si>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</si>
  <si>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</si>
  <si>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</si>
  <si>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</si>
  <si>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</si>
  <si>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</si>
  <si>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</si>
  <si>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</si>
  <si>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 xml:space="preserve"> </t>
  </si>
  <si>
    <t>-</t>
  </si>
  <si>
    <t>HR</t>
  </si>
  <si>
    <t>World</t>
  </si>
  <si>
    <t>Total</t>
  </si>
  <si>
    <t>More than 30 000 small private planes not included.</t>
  </si>
  <si>
    <t>(1)</t>
  </si>
  <si>
    <t>Note:</t>
  </si>
  <si>
    <t xml:space="preserve">  </t>
  </si>
  <si>
    <t>LI</t>
  </si>
  <si>
    <t xml:space="preserve">   of which: </t>
  </si>
  <si>
    <t>Reefer</t>
  </si>
  <si>
    <t>Ro-Ro: vehicles roll on to embark, vehicles roll off to disembark.</t>
  </si>
  <si>
    <t>Liquid gas tankers</t>
  </si>
  <si>
    <t>Ore/ bulk / oil carriers</t>
  </si>
  <si>
    <t>Container ships</t>
  </si>
  <si>
    <t>Reefer: refrigerated ships.</t>
  </si>
  <si>
    <t>New vehicle registrations</t>
  </si>
  <si>
    <t>Road : Motorcycles</t>
  </si>
  <si>
    <t>Road : Mopeds</t>
  </si>
  <si>
    <t>Number of Civil Aircraft In Service</t>
  </si>
  <si>
    <t>New vehicle deliveries</t>
  </si>
  <si>
    <t>On 1st January:</t>
  </si>
  <si>
    <t>Total controlled fleet by world region</t>
  </si>
  <si>
    <t>World region</t>
  </si>
  <si>
    <t>Share of EU in Total and of Foreign Flag in EU</t>
  </si>
  <si>
    <t>Light buses and coaches</t>
  </si>
  <si>
    <t>Buses and coaches</t>
  </si>
  <si>
    <t>Heavy buses and coaches</t>
  </si>
  <si>
    <t>&lt;3.5t</t>
  </si>
  <si>
    <t>%</t>
  </si>
  <si>
    <t>Data relate to main railways (UIC members)</t>
  </si>
  <si>
    <t>(passenger / cargo)</t>
  </si>
  <si>
    <t>mtow</t>
  </si>
  <si>
    <t>Multi-role</t>
  </si>
  <si>
    <r>
      <t>mtow</t>
    </r>
    <r>
      <rPr>
        <sz val="8"/>
        <rFont val="Arial"/>
        <family val="2"/>
      </rPr>
      <t>: maximum take-off weight</t>
    </r>
  </si>
  <si>
    <t>Total fleet</t>
  </si>
  <si>
    <t>2007*</t>
  </si>
  <si>
    <t>Stock of registered vehicles</t>
  </si>
  <si>
    <t>In this table blank means none.</t>
  </si>
  <si>
    <t>EUROPEAN UNION</t>
  </si>
  <si>
    <t>European Commission</t>
  </si>
  <si>
    <t>Means of Transport</t>
  </si>
  <si>
    <t>Road: Passenger Cars : Stock of Vehicles</t>
  </si>
  <si>
    <t>Road: Buses and Coaches : Stock of Vehicles</t>
  </si>
  <si>
    <t>Road: Goods Vehicles : Stock of Vehicles</t>
  </si>
  <si>
    <t>Road: Powered Two-wheelers : Stock of Vehicles</t>
  </si>
  <si>
    <t>Road: Passenger Cars : New Vehicle Registrations</t>
  </si>
  <si>
    <t>Road: Goods Vehicles : New Vehicle Registrations</t>
  </si>
  <si>
    <t>Road: Buses and Coaches : New Vehicle Registrations</t>
  </si>
  <si>
    <t>Road: Motorcycles : New Vehicle Registrations</t>
  </si>
  <si>
    <t>Road: Mopeds : New Vehicle Deliveries</t>
  </si>
  <si>
    <t>Sea:  EU Merchant Fleet</t>
  </si>
  <si>
    <t>Sea:  World Merchant Fleet by World Region</t>
  </si>
  <si>
    <t>Sea:  World Merchant Fleet by Type of Ship</t>
  </si>
  <si>
    <t>Rail: Passenger Transport Vehicles: Stocks of  Coaches, Railcars and Trailers</t>
  </si>
  <si>
    <t>Rail: Goods Transport Wagons : Stock of Vehicles</t>
  </si>
  <si>
    <r>
      <t xml:space="preserve">in co-operation with </t>
    </r>
    <r>
      <rPr>
        <b/>
        <sz val="10"/>
        <rFont val="Arial"/>
        <family val="2"/>
      </rPr>
      <t>Eurostat</t>
    </r>
  </si>
  <si>
    <r>
      <t>Source</t>
    </r>
    <r>
      <rPr>
        <sz val="8"/>
        <rFont val="Arial"/>
        <family val="2"/>
      </rPr>
      <t>: Association des Constructeurs Européens d'Automobiles (ACEA), national sources</t>
    </r>
  </si>
  <si>
    <r>
      <t>For transport of goods and passengers: fleet by type of ship and country of domicile</t>
    </r>
    <r>
      <rPr>
        <sz val="10"/>
        <rFont val="Arial"/>
        <family val="2"/>
      </rPr>
      <t xml:space="preserve">, numbers and deadweight </t>
    </r>
  </si>
  <si>
    <t>Tankers</t>
  </si>
  <si>
    <t>Passenger and passenger cargo</t>
  </si>
  <si>
    <t>Cargo passenger and Ro-Ro passenger ships</t>
  </si>
  <si>
    <t>2008*</t>
  </si>
  <si>
    <t>(1) figures included in other categories</t>
  </si>
  <si>
    <t>(1) Data included under "Light commercial vehicles"</t>
  </si>
  <si>
    <t>Road : Motorisation</t>
  </si>
  <si>
    <t>Directorate-General for Mobility and Transport</t>
  </si>
  <si>
    <t>TRANSPORT IN FIGURES</t>
  </si>
  <si>
    <t>Part 2  :  TRANSPORT</t>
  </si>
  <si>
    <t>Chapter 2.6  :</t>
  </si>
  <si>
    <t>2.6.1</t>
  </si>
  <si>
    <t>Road: Motorisation : Number of Passenger Cars per 1000 Inhabitants</t>
  </si>
  <si>
    <t>2.6.2</t>
  </si>
  <si>
    <t>2.6.3</t>
  </si>
  <si>
    <t>2.6.4</t>
  </si>
  <si>
    <t>2.6.5</t>
  </si>
  <si>
    <t>2.6.6</t>
  </si>
  <si>
    <t>2.6.7</t>
  </si>
  <si>
    <t>2.6.8</t>
  </si>
  <si>
    <t>2.6.9</t>
  </si>
  <si>
    <t>2.6.10</t>
  </si>
  <si>
    <t>2.6.11</t>
  </si>
  <si>
    <t>2.6.12a</t>
  </si>
  <si>
    <t>2.6.12b</t>
  </si>
  <si>
    <t>2.6.13</t>
  </si>
  <si>
    <t>Air:   Passenger Aircraft : Number in Service</t>
  </si>
  <si>
    <t>2.6.14</t>
  </si>
  <si>
    <t>Air:   Freight, Special,  Business Aircraft : Number in Service</t>
  </si>
  <si>
    <t>2.6.15</t>
  </si>
  <si>
    <t>Rail: Locomotives and Railcars : Stock of Vehicles</t>
  </si>
  <si>
    <t>2.6.16</t>
  </si>
  <si>
    <t>2.6.17</t>
  </si>
  <si>
    <t>Taxis are usually included.</t>
  </si>
  <si>
    <t>Only ships of 1000 gt and over</t>
  </si>
  <si>
    <r>
      <t>For transport of goods and passengers: passenger and passenger / cargo ships by registered flag</t>
    </r>
    <r>
      <rPr>
        <sz val="10"/>
        <rFont val="Arial"/>
        <family val="2"/>
      </rPr>
      <t>, numbers and gross tons</t>
    </r>
  </si>
  <si>
    <r>
      <t>Cruise ships by registered flag</t>
    </r>
    <r>
      <rPr>
        <sz val="10"/>
        <rFont val="Arial"/>
        <family val="2"/>
      </rPr>
      <t>, numbers and gross tons</t>
    </r>
  </si>
  <si>
    <t>Air : Passenger Aircraft</t>
  </si>
  <si>
    <t>Air : Freight, Special, Business Aircraft</t>
  </si>
  <si>
    <t xml:space="preserve">Stock of coaches, railcars and trailers  </t>
  </si>
  <si>
    <t>2009*</t>
  </si>
  <si>
    <r>
      <t>Source</t>
    </r>
    <r>
      <rPr>
        <sz val="8"/>
        <rFont val="Arial"/>
        <family val="2"/>
      </rPr>
      <t>: tables 2.6.2 and 1.5</t>
    </r>
  </si>
  <si>
    <r>
      <t>Notes:</t>
    </r>
  </si>
  <si>
    <r>
      <t xml:space="preserve">Stock at end of year, except for </t>
    </r>
    <r>
      <rPr>
        <b/>
        <sz val="8"/>
        <rFont val="Arial"/>
        <family val="2"/>
      </rPr>
      <t>BE:</t>
    </r>
    <r>
      <rPr>
        <sz val="8"/>
        <rFont val="Arial"/>
        <family val="2"/>
      </rPr>
      <t xml:space="preserve"> 1 August, </t>
    </r>
    <r>
      <rPr>
        <b/>
        <sz val="8"/>
        <rFont val="Arial"/>
        <family val="2"/>
      </rPr>
      <t>CH:</t>
    </r>
    <r>
      <rPr>
        <sz val="8"/>
        <rFont val="Arial"/>
        <family val="2"/>
      </rPr>
      <t xml:space="preserve"> 30 September, </t>
    </r>
    <r>
      <rPr>
        <b/>
        <sz val="8"/>
        <rFont val="Arial"/>
        <family val="2"/>
      </rPr>
      <t>LI:</t>
    </r>
    <r>
      <rPr>
        <sz val="8"/>
        <rFont val="Arial"/>
        <family val="2"/>
      </rPr>
      <t xml:space="preserve"> 1 July.</t>
    </r>
  </si>
  <si>
    <r>
      <t>Data include buses, coaches, minibuses and sometimes also trolleybuses.</t>
    </r>
  </si>
  <si>
    <r>
      <t xml:space="preserve">Notes: </t>
    </r>
  </si>
  <si>
    <r>
      <t>As a rule, data include heavy and light goods vehicles, lorries and road tractors; due to varying concepts of such vehicles, data are not fully comparable between countries.</t>
    </r>
  </si>
  <si>
    <r>
      <t>National vehicle stock data do not always include all powered two-wheelers and are therefore not fully comparable between countries.</t>
    </r>
  </si>
  <si>
    <r>
      <t>Tricycles and quads are sometimes included in the data.</t>
    </r>
  </si>
  <si>
    <r>
      <t>Notes</t>
    </r>
    <r>
      <rPr>
        <sz val="8"/>
        <rFont val="Arial"/>
        <family val="2"/>
      </rPr>
      <t>:</t>
    </r>
  </si>
  <si>
    <r>
      <t>IT</t>
    </r>
    <r>
      <rPr>
        <sz val="8"/>
        <rFont val="Arial"/>
        <family val="2"/>
      </rPr>
      <t>: all two-wheelers over 50cc</t>
    </r>
  </si>
  <si>
    <r>
      <t>dwt</t>
    </r>
    <r>
      <rPr>
        <sz val="8"/>
        <rFont val="Arial"/>
        <family val="2"/>
      </rPr>
      <t xml:space="preserve"> (million)</t>
    </r>
  </si>
  <si>
    <r>
      <t>Notes:</t>
    </r>
    <r>
      <rPr>
        <sz val="8"/>
        <rFont val="Arial"/>
        <family val="2"/>
      </rPr>
      <t xml:space="preserve"> </t>
    </r>
  </si>
  <si>
    <r>
      <t xml:space="preserve">dwt </t>
    </r>
    <r>
      <rPr>
        <sz val="8"/>
        <rFont val="Arial"/>
        <family val="2"/>
      </rPr>
      <t>(1000)</t>
    </r>
  </si>
  <si>
    <r>
      <t xml:space="preserve">gt </t>
    </r>
    <r>
      <rPr>
        <sz val="8"/>
        <rFont val="Arial"/>
        <family val="2"/>
      </rPr>
      <t>(1000)</t>
    </r>
  </si>
  <si>
    <r>
      <t>Source</t>
    </r>
    <r>
      <rPr>
        <sz val="8"/>
        <rFont val="Arial"/>
        <family val="2"/>
      </rPr>
      <t>: Institute for Shipping Economics and Logistics, Bremen</t>
    </r>
  </si>
  <si>
    <r>
      <t>Source</t>
    </r>
    <r>
      <rPr>
        <sz val="8"/>
        <rFont val="Arial"/>
        <family val="2"/>
      </rPr>
      <t>: Ascend</t>
    </r>
  </si>
  <si>
    <r>
      <t>Special purpose / Ambulance</t>
    </r>
    <r>
      <rPr>
        <sz val="8"/>
        <rFont val="Arial"/>
        <family val="2"/>
      </rPr>
      <t>: contains data about Hospital / Ambulance / Medevac and Special Role / Operations / Mission aircraft.</t>
    </r>
  </si>
  <si>
    <r>
      <rPr>
        <b/>
        <sz val="8"/>
        <rFont val="Arial"/>
        <family val="2"/>
      </rPr>
      <t>CY</t>
    </r>
    <r>
      <rPr>
        <sz val="8"/>
        <rFont val="Arial"/>
        <family val="2"/>
      </rPr>
      <t>: new and used</t>
    </r>
  </si>
  <si>
    <t xml:space="preserve">Passenger (not Ro-Ro) </t>
  </si>
  <si>
    <t>Road: Goods vehicles</t>
  </si>
  <si>
    <r>
      <t>DE:</t>
    </r>
    <r>
      <rPr>
        <sz val="8"/>
        <rFont val="Arial"/>
        <family val="2"/>
      </rPr>
      <t xml:space="preserve"> includes </t>
    </r>
    <r>
      <rPr>
        <b/>
        <sz val="8"/>
        <rFont val="Arial"/>
        <family val="2"/>
      </rPr>
      <t>DE-E</t>
    </r>
    <r>
      <rPr>
        <sz val="8"/>
        <rFont val="Arial"/>
        <family val="2"/>
      </rPr>
      <t>: 1970=</t>
    </r>
    <r>
      <rPr>
        <i/>
        <sz val="8"/>
        <rFont val="Arial"/>
        <family val="2"/>
      </rPr>
      <t>10000</t>
    </r>
    <r>
      <rPr>
        <sz val="8"/>
        <rFont val="Arial"/>
        <family val="2"/>
      </rPr>
      <t>,  1980=10761,  1990=9635</t>
    </r>
  </si>
  <si>
    <r>
      <t>CS:</t>
    </r>
    <r>
      <rPr>
        <sz val="8"/>
        <rFont val="Arial"/>
        <family val="2"/>
      </rPr>
      <t xml:space="preserve"> 1970=10145   1990=8597</t>
    </r>
  </si>
  <si>
    <t>2010*</t>
  </si>
  <si>
    <r>
      <t>*</t>
    </r>
    <r>
      <rPr>
        <sz val="8"/>
        <rFont val="Arial"/>
        <family val="2"/>
      </rPr>
      <t>: not including private-owners' vehicles; not fully comparable with data of previous years.</t>
    </r>
  </si>
  <si>
    <r>
      <t>DE:</t>
    </r>
    <r>
      <rPr>
        <sz val="8"/>
        <rFont val="Arial"/>
        <family val="2"/>
      </rPr>
      <t xml:space="preserve"> includes </t>
    </r>
    <r>
      <rPr>
        <b/>
        <sz val="8"/>
        <rFont val="Arial"/>
        <family val="2"/>
      </rPr>
      <t>DE-E</t>
    </r>
    <r>
      <rPr>
        <sz val="8"/>
        <rFont val="Arial"/>
        <family val="2"/>
      </rPr>
      <t xml:space="preserve">: 1970=137 984;  1980=142 202;  1990=163 158 </t>
    </r>
  </si>
  <si>
    <t>Eurostat</t>
  </si>
  <si>
    <r>
      <t>Source</t>
    </r>
    <r>
      <rPr>
        <sz val="8"/>
        <rFont val="Arial"/>
        <family val="2"/>
      </rPr>
      <t xml:space="preserve">: Eurostat, National statistics, United Nations Economic Commission for Europe,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</si>
  <si>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Eurostat, national statistics, United Nations Economic Commission for Europe,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</si>
  <si>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 xml:space="preserve">:  Eurostat, national statistics, United Nations Economic Commission for Europe, estimates </t>
    </r>
    <r>
      <rPr>
        <i/>
        <sz val="8"/>
        <rFont val="Arial"/>
        <family val="2"/>
      </rPr>
      <t>(in italics)</t>
    </r>
  </si>
  <si>
    <r>
      <t xml:space="preserve">Break in time series due to inclusion of mopeds from 2001 in </t>
    </r>
    <r>
      <rPr>
        <b/>
        <sz val="8"/>
        <rFont val="Arial"/>
        <family val="2"/>
      </rPr>
      <t>ES</t>
    </r>
    <r>
      <rPr>
        <sz val="8"/>
        <rFont val="Arial"/>
        <family val="2"/>
      </rPr>
      <t xml:space="preserve">, from 2002 in </t>
    </r>
    <r>
      <rPr>
        <b/>
        <sz val="8"/>
        <rFont val="Arial"/>
        <family val="2"/>
      </rPr>
      <t xml:space="preserve">SI </t>
    </r>
    <r>
      <rPr>
        <sz val="8"/>
        <rFont val="Arial"/>
        <family val="2"/>
      </rPr>
      <t xml:space="preserve">and </t>
    </r>
    <r>
      <rPr>
        <b/>
        <sz val="8"/>
        <rFont val="Arial"/>
        <family val="2"/>
      </rPr>
      <t>HR</t>
    </r>
    <r>
      <rPr>
        <sz val="8"/>
        <rFont val="Arial"/>
        <family val="2"/>
      </rPr>
      <t xml:space="preserve">, from 2004 in </t>
    </r>
    <r>
      <rPr>
        <b/>
        <sz val="8"/>
        <rFont val="Arial"/>
        <family val="2"/>
      </rPr>
      <t>LV</t>
    </r>
    <r>
      <rPr>
        <sz val="8"/>
        <rFont val="Arial"/>
        <family val="2"/>
      </rPr>
      <t xml:space="preserve">, from 2005 in </t>
    </r>
    <r>
      <rPr>
        <b/>
        <sz val="8"/>
        <rFont val="Arial"/>
        <family val="2"/>
      </rPr>
      <t>PL</t>
    </r>
    <r>
      <rPr>
        <sz val="8"/>
        <rFont val="Arial"/>
        <family val="2"/>
      </rPr>
      <t xml:space="preserve">, from 2007 in </t>
    </r>
    <r>
      <rPr>
        <b/>
        <sz val="8"/>
        <rFont val="Arial"/>
        <family val="2"/>
      </rPr>
      <t xml:space="preserve">LT, </t>
    </r>
    <r>
      <rPr>
        <sz val="8"/>
        <rFont val="Arial"/>
        <family val="2"/>
      </rPr>
      <t xml:space="preserve">from 2011 in </t>
    </r>
    <r>
      <rPr>
        <b/>
        <sz val="8"/>
        <rFont val="Arial"/>
        <family val="2"/>
      </rPr>
      <t>EE</t>
    </r>
  </si>
  <si>
    <t>Ships of 1000 gt and over</t>
  </si>
  <si>
    <r>
      <t>National flag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</si>
  <si>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  <r>
      <rPr>
        <sz val="8"/>
        <rFont val="Arial"/>
        <family val="2"/>
      </rPr>
      <t xml:space="preserve"> including international registers like NIS and DIS. Including vessels registered at territorial dependencies.</t>
    </r>
  </si>
  <si>
    <r>
      <t xml:space="preserve">Foreign flag         </t>
    </r>
    <r>
      <rPr>
        <sz val="8"/>
        <rFont val="Arial"/>
        <family val="2"/>
      </rPr>
      <t>(including other EU)</t>
    </r>
  </si>
  <si>
    <t>2011*</t>
  </si>
  <si>
    <t xml:space="preserve">% of foreign flag in total fleet </t>
  </si>
  <si>
    <r>
      <t>Source</t>
    </r>
    <r>
      <rPr>
        <sz val="8"/>
        <rFont val="Arial"/>
        <family val="2"/>
      </rPr>
      <t xml:space="preserve">: Association des Constructeurs Européens d'Automobiles (ACEA), Eurostat, national sources, </t>
    </r>
    <r>
      <rPr>
        <i/>
        <sz val="8"/>
        <rFont val="Arial"/>
        <family val="2"/>
      </rPr>
      <t>estimates (in italics)</t>
    </r>
  </si>
  <si>
    <t>RS</t>
  </si>
  <si>
    <t>ME</t>
  </si>
  <si>
    <r>
      <t xml:space="preserve">Stock at end of year, except for </t>
    </r>
    <r>
      <rPr>
        <b/>
        <sz val="8"/>
        <rFont val="Arial"/>
        <family val="2"/>
      </rPr>
      <t>BE:</t>
    </r>
    <r>
      <rPr>
        <sz val="8"/>
        <rFont val="Arial"/>
        <family val="2"/>
      </rPr>
      <t xml:space="preserve"> 1 August (1 July in 2012), </t>
    </r>
    <r>
      <rPr>
        <b/>
        <sz val="8"/>
        <rFont val="Arial"/>
        <family val="2"/>
      </rPr>
      <t>CH:</t>
    </r>
    <r>
      <rPr>
        <sz val="8"/>
        <rFont val="Arial"/>
        <family val="2"/>
      </rPr>
      <t xml:space="preserve"> 30 September, </t>
    </r>
    <r>
      <rPr>
        <b/>
        <sz val="8"/>
        <rFont val="Arial"/>
        <family val="2"/>
      </rPr>
      <t>LI:</t>
    </r>
    <r>
      <rPr>
        <sz val="8"/>
        <rFont val="Arial"/>
        <family val="2"/>
      </rPr>
      <t xml:space="preserve"> 1 July.</t>
    </r>
  </si>
  <si>
    <r>
      <rPr>
        <b/>
        <sz val="8"/>
        <rFont val="Arial"/>
        <family val="2"/>
      </rPr>
      <t>HR:</t>
    </r>
    <r>
      <rPr>
        <sz val="8"/>
        <rFont val="Arial"/>
        <family val="2"/>
      </rPr>
      <t xml:space="preserve"> from 2009 light vans are included in passenger cars and no longer in Goods Vehicles</t>
    </r>
  </si>
  <si>
    <r>
      <t xml:space="preserve">Stock at end of year, except for </t>
    </r>
    <r>
      <rPr>
        <b/>
        <sz val="8"/>
        <rFont val="Arial"/>
        <family val="2"/>
      </rPr>
      <t>CH:</t>
    </r>
    <r>
      <rPr>
        <sz val="8"/>
        <rFont val="Arial"/>
        <family val="2"/>
      </rPr>
      <t xml:space="preserve"> 30 September, </t>
    </r>
    <r>
      <rPr>
        <b/>
        <sz val="8"/>
        <rFont val="Arial"/>
        <family val="2"/>
      </rPr>
      <t>LI:</t>
    </r>
    <r>
      <rPr>
        <sz val="8"/>
        <rFont val="Arial"/>
        <family val="2"/>
      </rPr>
      <t xml:space="preserve"> 1 July.</t>
    </r>
  </si>
  <si>
    <r>
      <t>Source</t>
    </r>
    <r>
      <rPr>
        <sz val="8"/>
        <rFont val="Arial"/>
        <family val="2"/>
      </rPr>
      <t xml:space="preserve">: Association des Constructeurs Européens d'Automobiles (ACEA), national sources, estimates </t>
    </r>
    <r>
      <rPr>
        <i/>
        <sz val="8"/>
        <rFont val="Arial"/>
        <family val="2"/>
      </rPr>
      <t>(italics)</t>
    </r>
  </si>
  <si>
    <r>
      <t>*:</t>
    </r>
    <r>
      <rPr>
        <sz val="8"/>
        <rFont val="Arial"/>
        <family val="2"/>
      </rPr>
      <t xml:space="preserve"> In this table Europe includes EU-28, EFTA, Monaco, Gibraltar, Andorra, Turkey, Western Balkan countries, Russia, Ukraine and Moldavia</t>
    </r>
  </si>
  <si>
    <r>
      <t xml:space="preserve">***: </t>
    </r>
    <r>
      <rPr>
        <sz val="8"/>
        <rFont val="Arial"/>
        <family val="2"/>
      </rPr>
      <t>foreign flag share includes ships registered by EU countries in other EU countries</t>
    </r>
  </si>
  <si>
    <t>2012*</t>
  </si>
  <si>
    <t>AL</t>
  </si>
  <si>
    <t>EU-28</t>
  </si>
  <si>
    <t>of which:  EU-28**</t>
  </si>
  <si>
    <t>EU-28** control of total</t>
  </si>
  <si>
    <t>EU-28** : Foreign flag share ***</t>
  </si>
  <si>
    <t>**: EU-28 since 2012</t>
  </si>
  <si>
    <t>EU-15</t>
  </si>
  <si>
    <t>of which:  EU-15</t>
  </si>
  <si>
    <t>EU-15 control of total</t>
  </si>
  <si>
    <t>EU-15 : Foreign flag share ***</t>
  </si>
  <si>
    <t>EU-13</t>
  </si>
  <si>
    <r>
      <t xml:space="preserve">Source: </t>
    </r>
    <r>
      <rPr>
        <sz val="8"/>
        <rFont val="Arial"/>
        <family val="2"/>
      </rPr>
      <t>Association des Constructeurs Européens de Motocycles (ACEM), Eurostat, national sources, estimates</t>
    </r>
    <r>
      <rPr>
        <i/>
        <sz val="8"/>
        <rFont val="Arial"/>
        <family val="2"/>
      </rPr>
      <t xml:space="preserve"> (in italics)</t>
    </r>
  </si>
  <si>
    <t xml:space="preserve">New vehicle registrations </t>
  </si>
  <si>
    <r>
      <t>Source</t>
    </r>
    <r>
      <rPr>
        <sz val="8"/>
        <rFont val="Arial"/>
        <family val="2"/>
      </rPr>
      <t xml:space="preserve">: Association des Constructeurs Européens de Motocycles (ACEM), national sources, estimates </t>
    </r>
    <r>
      <rPr>
        <i/>
        <sz val="8"/>
        <rFont val="Arial"/>
        <family val="2"/>
      </rPr>
      <t>(in italics)</t>
    </r>
    <r>
      <rPr>
        <sz val="8"/>
        <rFont val="Arial"/>
        <family val="2"/>
      </rPr>
      <t xml:space="preserve">. Official statistics on mopeds are often unavailable, therefore data and estimates should be considered as indicative. </t>
    </r>
  </si>
  <si>
    <r>
      <t xml:space="preserve">Notes: </t>
    </r>
    <r>
      <rPr>
        <sz val="8"/>
        <rFont val="Arial"/>
        <family val="2"/>
      </rPr>
      <t>Passenger car stock at end of year n divided by the population on 1 January of year n+1</t>
    </r>
  </si>
  <si>
    <t>under 
100 000lbs</t>
  </si>
  <si>
    <t>over 
100 000lbs</t>
  </si>
  <si>
    <t>Data relates to main railways (UIC members). From 2010 a new split between "railcars" and "trainset" has been introduced by UIC. Values on this table consider the declared values of locomotives (diesel + electric) and railcars (diesel + electric).</t>
  </si>
  <si>
    <t>2013*</t>
  </si>
  <si>
    <r>
      <t>Source:</t>
    </r>
    <r>
      <rPr>
        <sz val="8"/>
        <rFont val="Arial"/>
        <family val="2"/>
      </rPr>
      <t xml:space="preserve"> ISL, up to 2011 based on quarterly updates from IHS Fairplay, since 2012 on Clarkson Research Services Limited (CRSL)</t>
    </r>
  </si>
  <si>
    <t>Crude oil and oil product tankers</t>
  </si>
  <si>
    <t>Oil / chemical tankers</t>
  </si>
  <si>
    <t>Conventional cargo</t>
  </si>
  <si>
    <t>Special cargo (*)</t>
  </si>
  <si>
    <t>Pure car carriers</t>
  </si>
  <si>
    <t>Ro-Ro cargo</t>
  </si>
  <si>
    <t>(*) Including open hatch carriers.</t>
  </si>
  <si>
    <r>
      <t>Source:</t>
    </r>
    <r>
      <rPr>
        <sz val="8"/>
        <rFont val="Arial"/>
        <family val="2"/>
      </rPr>
      <t xml:space="preserve"> national statistics, Association des Constructeurs Européens de Motocycles (ACEM) for </t>
    </r>
    <r>
      <rPr>
        <b/>
        <sz val="8"/>
        <rFont val="Arial"/>
        <family val="2"/>
      </rPr>
      <t>FR</t>
    </r>
    <r>
      <rPr>
        <sz val="8"/>
        <rFont val="Arial"/>
        <family val="2"/>
      </rPr>
      <t>.</t>
    </r>
  </si>
  <si>
    <r>
      <rPr>
        <b/>
        <sz val="8"/>
        <rFont val="Arial"/>
        <family val="2"/>
      </rPr>
      <t>EE,  FR:</t>
    </r>
    <r>
      <rPr>
        <sz val="8"/>
        <rFont val="Arial"/>
        <family val="2"/>
      </rPr>
      <t xml:space="preserve"> include special purpose vehicles.</t>
    </r>
  </si>
  <si>
    <r>
      <t>Source</t>
    </r>
    <r>
      <rPr>
        <sz val="8"/>
        <rFont val="Arial"/>
        <family val="2"/>
      </rPr>
      <t>: ISL, based on updates from Clarkson Research Services Limited (CRSL)</t>
    </r>
  </si>
  <si>
    <t>(**) No deadweight figure is given for cruise ships, since dwt is a measure of the weight admissible in the vessel.</t>
  </si>
  <si>
    <t>2014*</t>
  </si>
  <si>
    <t>On 31 December 2016</t>
  </si>
  <si>
    <t>change
15/16 (%)</t>
  </si>
  <si>
    <r>
      <t>RO</t>
    </r>
    <r>
      <rPr>
        <b/>
        <sz val="8"/>
        <rFont val="Calibri"/>
        <family val="2"/>
      </rPr>
      <t>¹</t>
    </r>
  </si>
  <si>
    <t>15/16</t>
  </si>
  <si>
    <t>change 14/15
%</t>
  </si>
  <si>
    <t>change 14/15</t>
  </si>
  <si>
    <t>change 
14/15 %</t>
  </si>
  <si>
    <r>
      <t xml:space="preserve">Notes: </t>
    </r>
    <r>
      <rPr>
        <sz val="8"/>
        <rFont val="Arial"/>
        <family val="2"/>
      </rPr>
      <t>2016 figures are provisional. 1. Data for Romania refers to sales (APIA). For registrations, see ACAROM figures at www.acea.be</t>
    </r>
  </si>
  <si>
    <r>
      <rPr>
        <b/>
        <sz val="8"/>
        <rFont val="Arial"/>
        <family val="2"/>
      </rPr>
      <t>CY:</t>
    </r>
    <r>
      <rPr>
        <sz val="8"/>
        <rFont val="Arial"/>
        <family val="2"/>
      </rPr>
      <t xml:space="preserve"> vehicle classification corresponds to "light", "heavy" and "road tractors" goods conveyance vehicles.</t>
    </r>
  </si>
  <si>
    <t>On January 1st, 2016</t>
  </si>
  <si>
    <t>Up to December 2016 (**)</t>
  </si>
  <si>
    <r>
      <t>Source</t>
    </r>
    <r>
      <rPr>
        <sz val="8"/>
        <rFont val="Arial"/>
        <family val="2"/>
      </rPr>
      <t xml:space="preserve">:  Union Internationale des Chemins de Fer, Eurostat, </t>
    </r>
    <r>
      <rPr>
        <i/>
        <sz val="8"/>
        <rFont val="Arial"/>
        <family val="2"/>
      </rPr>
      <t>estimates (in italics)</t>
    </r>
  </si>
  <si>
    <t>Change 14/15</t>
  </si>
  <si>
    <t>Effectives en services</t>
  </si>
  <si>
    <r>
      <t>DE:</t>
    </r>
    <r>
      <rPr>
        <sz val="8"/>
        <rFont val="Arial"/>
        <family val="2"/>
      </rPr>
      <t xml:space="preserve"> includes </t>
    </r>
    <r>
      <rPr>
        <b/>
        <sz val="8"/>
        <rFont val="Arial"/>
        <family val="2"/>
      </rPr>
      <t>DE-E</t>
    </r>
    <r>
      <rPr>
        <sz val="8"/>
        <rFont val="Arial"/>
        <family val="2"/>
      </rPr>
      <t xml:space="preserve">: 1970 = 5 </t>
    </r>
    <r>
      <rPr>
        <i/>
        <sz val="8"/>
        <rFont val="Arial"/>
        <family val="2"/>
      </rPr>
      <t>000</t>
    </r>
    <r>
      <rPr>
        <sz val="8"/>
        <rFont val="Arial"/>
        <family val="2"/>
      </rPr>
      <t>; 1980 = 4 506; 1990 = 6 331</t>
    </r>
  </si>
  <si>
    <r>
      <t>CS:</t>
    </r>
    <r>
      <rPr>
        <sz val="8"/>
        <rFont val="Arial"/>
        <family val="2"/>
      </rPr>
      <t xml:space="preserve"> 1970: 4 998; 1990: 6 010</t>
    </r>
  </si>
  <si>
    <t>change 14/15 %</t>
  </si>
  <si>
    <t>2015*</t>
  </si>
  <si>
    <r>
      <t>Source</t>
    </r>
    <r>
      <rPr>
        <sz val="8"/>
        <rFont val="Arial"/>
        <family val="2"/>
      </rPr>
      <t>:  Union Internationale des Chemins de Fer, Eurostat, national statistics,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</si>
  <si>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 xml:space="preserve">:  Union Internationale des Chemins de Fer, Eurostat, national statistics (own estimates in </t>
    </r>
    <r>
      <rPr>
        <i/>
        <sz val="8"/>
        <rFont val="Arial"/>
        <family val="2"/>
      </rPr>
      <t>italics</t>
    </r>
    <r>
      <rPr>
        <sz val="8"/>
        <rFont val="Arial"/>
        <family val="2"/>
      </rPr>
      <t>)</t>
    </r>
  </si>
  <si>
    <r>
      <t>Russia</t>
    </r>
    <r>
      <rPr>
        <sz val="8"/>
        <rFont val="Arial"/>
        <family val="2"/>
      </rPr>
      <t xml:space="preserve">: 1 449 ships, 21.054 mio dwt; </t>
    </r>
    <r>
      <rPr>
        <b/>
        <sz val="8"/>
        <rFont val="Arial"/>
        <family val="2"/>
      </rPr>
      <t>Monaco</t>
    </r>
    <r>
      <rPr>
        <sz val="8"/>
        <rFont val="Arial"/>
        <family val="2"/>
      </rPr>
      <t xml:space="preserve">: 44 ships, 2.772 mio dwt; </t>
    </r>
    <r>
      <rPr>
        <b/>
        <sz val="8"/>
        <rFont val="Arial"/>
        <family val="2"/>
      </rPr>
      <t>Ukraine</t>
    </r>
    <r>
      <rPr>
        <sz val="8"/>
        <rFont val="Arial"/>
        <family val="2"/>
      </rPr>
      <t xml:space="preserve">: 361 ships, 3.554 mio dwt; </t>
    </r>
    <r>
      <rPr>
        <b/>
        <sz val="8"/>
        <rFont val="Arial"/>
        <family val="2"/>
      </rPr>
      <t>Gibraltar</t>
    </r>
    <r>
      <rPr>
        <sz val="8"/>
        <rFont val="Arial"/>
        <family val="2"/>
      </rPr>
      <t>: 7 ships, 0.032 mio dwt.</t>
    </r>
  </si>
</sst>
</file>

<file path=xl/styles.xml><?xml version="1.0" encoding="utf-8"?>
<styleSheet xmlns="http://schemas.openxmlformats.org/spreadsheetml/2006/main">
  <numFmts count="3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#\ ##0"/>
    <numFmt numFmtId="168" formatCode="0.000"/>
    <numFmt numFmtId="169" formatCode="0.0%"/>
    <numFmt numFmtId="170" formatCode="#,##0.0\ \ "/>
    <numFmt numFmtId="171" formatCode="#,###,##0"/>
    <numFmt numFmtId="172" formatCode="0.0\ \ \ "/>
    <numFmt numFmtId="173" formatCode="0.00\ "/>
    <numFmt numFmtId="174" formatCode="#,##0\ "/>
    <numFmt numFmtId="175" formatCode="##0\ "/>
    <numFmt numFmtId="176" formatCode="dd\.mm\.yy"/>
    <numFmt numFmtId="177" formatCode="_-* #,##0.00\ _F_t_-;\-* #,##0.00\ _F_t_-;_-* &quot;-&quot;??\ _F_t_-;_-@_-"/>
    <numFmt numFmtId="178" formatCode="#\ ##0.0"/>
    <numFmt numFmtId="179" formatCode="#\ ###\ ###\ ###\ ##0"/>
    <numFmt numFmtId="180" formatCode="#\ ##0.000"/>
    <numFmt numFmtId="181" formatCode="#\ ###\ ##0"/>
    <numFmt numFmtId="182" formatCode="########\ ##0.0"/>
    <numFmt numFmtId="183" formatCode="###\ ##0.0"/>
    <numFmt numFmtId="184" formatCode="\(##\);\(##\)"/>
    <numFmt numFmtId="185" formatCode="##############\ ##0.0"/>
    <numFmt numFmtId="186" formatCode="#######\ ##0.0"/>
    <numFmt numFmtId="187" formatCode="####\ ##0.0"/>
    <numFmt numFmtId="188" formatCode="_-* #,##0.00\ _k_r_-;\-* #,##0.00\ _k_r_-;_-* &quot;-&quot;??\ _k_r_-;_-@_-"/>
    <numFmt numFmtId="189" formatCode="######\ ##0.0"/>
  </numFmts>
  <fonts count="9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0"/>
      <name val="Times"/>
      <family val="1"/>
    </font>
    <font>
      <b/>
      <sz val="10"/>
      <name val="Times"/>
      <family val="1"/>
    </font>
    <font>
      <b/>
      <sz val="8"/>
      <name val="Times"/>
      <family val="1"/>
    </font>
    <font>
      <b/>
      <i/>
      <sz val="10"/>
      <name val="Times"/>
      <family val="1"/>
    </font>
    <font>
      <sz val="8"/>
      <name val="Times"/>
      <family val="1"/>
    </font>
    <font>
      <i/>
      <sz val="8"/>
      <name val="Times"/>
      <family val="1"/>
    </font>
    <font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10"/>
      <name val="Times New Roman CE"/>
      <family val="0"/>
    </font>
    <font>
      <b/>
      <vertAlign val="superscript"/>
      <sz val="8"/>
      <name val="Arial"/>
      <family val="2"/>
    </font>
    <font>
      <sz val="10"/>
      <color indexed="8"/>
      <name val="Arial"/>
      <family val="2"/>
    </font>
    <font>
      <b/>
      <sz val="6"/>
      <color indexed="18"/>
      <name val="Arial"/>
      <family val="2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37"/>
      <name val="Arial"/>
      <family val="2"/>
    </font>
    <font>
      <b/>
      <sz val="12"/>
      <color indexed="8"/>
      <name val="Arial"/>
      <family val="2"/>
    </font>
    <font>
      <b/>
      <i/>
      <sz val="12"/>
      <color indexed="10"/>
      <name val="Arial"/>
      <family val="2"/>
    </font>
    <font>
      <b/>
      <u val="single"/>
      <sz val="10"/>
      <color indexed="9"/>
      <name val="Arial"/>
      <family val="2"/>
    </font>
    <font>
      <b/>
      <i/>
      <sz val="10"/>
      <color indexed="18"/>
      <name val="Arial"/>
      <family val="2"/>
    </font>
    <font>
      <b/>
      <i/>
      <sz val="10"/>
      <color indexed="8"/>
      <name val="Arial"/>
      <family val="2"/>
    </font>
    <font>
      <b/>
      <sz val="12"/>
      <name val="Times New Roman"/>
      <family val="1"/>
    </font>
    <font>
      <i/>
      <sz val="8"/>
      <color indexed="38"/>
      <name val="Arial"/>
      <family val="2"/>
    </font>
    <font>
      <sz val="10"/>
      <color indexed="56"/>
      <name val="Arial"/>
      <family val="2"/>
    </font>
    <font>
      <b/>
      <vertAlign val="superscript"/>
      <sz val="12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56"/>
      <name val="Arial"/>
      <family val="2"/>
    </font>
    <font>
      <i/>
      <sz val="8"/>
      <color indexed="57"/>
      <name val="Arial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8"/>
      <name val="Calibri"/>
      <family val="2"/>
    </font>
    <font>
      <sz val="18"/>
      <color indexed="62"/>
      <name val="Cambria"/>
      <family val="2"/>
    </font>
    <font>
      <sz val="9.5"/>
      <color indexed="8"/>
      <name val="Albany AMT"/>
      <family val="0"/>
    </font>
    <font>
      <u val="single"/>
      <sz val="10"/>
      <color indexed="36"/>
      <name val="Arial"/>
      <family val="2"/>
    </font>
    <font>
      <b/>
      <i/>
      <u val="single"/>
      <sz val="10"/>
      <name val="Arial"/>
      <family val="2"/>
    </font>
    <font>
      <sz val="10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0"/>
      <color rgb="FF000000"/>
      <name val="Arial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.5"/>
      <color rgb="FF000000"/>
      <name val="Albany AMT"/>
      <family val="0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lightGray">
        <fgColor indexed="9"/>
      </patternFill>
    </fill>
    <fill>
      <patternFill patternType="solid">
        <fgColor indexed="20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fgColor indexed="9"/>
      </patternFill>
    </fill>
    <fill>
      <patternFill patternType="solid">
        <fgColor rgb="FFFFCC99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lightGray">
        <fgColor indexed="9"/>
        <bgColor indexed="9"/>
      </patternFill>
    </fill>
    <fill>
      <patternFill patternType="light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/>
      <right style="thin"/>
      <top/>
      <bottom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/>
      <top style="hair"/>
      <bottom/>
    </border>
    <border>
      <left/>
      <right style="thin"/>
      <top style="hair"/>
      <bottom/>
    </border>
    <border>
      <left/>
      <right style="hair"/>
      <top/>
      <bottom style="thin"/>
    </border>
    <border>
      <left style="hair"/>
      <right/>
      <top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 style="thick"/>
      <top/>
      <bottom/>
    </border>
    <border>
      <left style="thick"/>
      <right/>
      <top/>
      <bottom/>
    </border>
    <border>
      <left/>
      <right style="thick"/>
      <top/>
      <bottom style="thin"/>
    </border>
    <border>
      <left style="thick"/>
      <right/>
      <top style="thin"/>
      <bottom/>
    </border>
    <border>
      <left style="thick"/>
      <right/>
      <top style="hair"/>
      <bottom/>
    </border>
    <border>
      <left/>
      <right style="thick"/>
      <top style="thin"/>
      <bottom/>
    </border>
    <border>
      <left style="thick"/>
      <right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/>
      <right style="hair"/>
      <top style="thin"/>
      <bottom style="thin"/>
    </border>
    <border>
      <left/>
      <right style="hair"/>
      <top/>
      <bottom/>
    </border>
    <border>
      <left style="hair"/>
      <right/>
      <top/>
      <bottom/>
    </border>
    <border>
      <left/>
      <right style="hair"/>
      <top style="thin"/>
      <bottom/>
    </border>
    <border>
      <left style="hair"/>
      <right/>
      <top style="thin"/>
      <bottom/>
    </border>
    <border>
      <left style="hair"/>
      <right/>
      <top style="thin"/>
      <bottom style="thin"/>
    </border>
    <border>
      <left/>
      <right/>
      <top style="thin">
        <color indexed="47"/>
      </top>
      <bottom style="thin">
        <color indexed="47"/>
      </bottom>
    </border>
    <border>
      <left style="thick"/>
      <right style="thin"/>
      <top/>
      <bottom/>
    </border>
    <border>
      <left style="thick"/>
      <right style="thin"/>
      <top/>
      <bottom style="thin"/>
    </border>
  </borders>
  <cellStyleXfs count="15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48" fillId="21" borderId="0" applyNumberFormat="0" applyBorder="0" applyAlignment="0" applyProtection="0"/>
    <xf numFmtId="0" fontId="72" fillId="22" borderId="0" applyNumberFormat="0" applyBorder="0" applyAlignment="0" applyProtection="0"/>
    <xf numFmtId="0" fontId="48" fillId="23" borderId="0" applyNumberFormat="0" applyBorder="0" applyAlignment="0" applyProtection="0"/>
    <xf numFmtId="0" fontId="72" fillId="24" borderId="0" applyNumberFormat="0" applyBorder="0" applyAlignment="0" applyProtection="0"/>
    <xf numFmtId="0" fontId="48" fillId="25" borderId="0" applyNumberFormat="0" applyBorder="0" applyAlignment="0" applyProtection="0"/>
    <xf numFmtId="0" fontId="72" fillId="26" borderId="0" applyNumberFormat="0" applyBorder="0" applyAlignment="0" applyProtection="0"/>
    <xf numFmtId="0" fontId="48" fillId="27" borderId="0" applyNumberFormat="0" applyBorder="0" applyAlignment="0" applyProtection="0"/>
    <xf numFmtId="0" fontId="72" fillId="28" borderId="0" applyNumberFormat="0" applyBorder="0" applyAlignment="0" applyProtection="0"/>
    <xf numFmtId="0" fontId="48" fillId="29" borderId="0" applyNumberFormat="0" applyBorder="0" applyAlignment="0" applyProtection="0"/>
    <xf numFmtId="0" fontId="72" fillId="30" borderId="0" applyNumberFormat="0" applyBorder="0" applyAlignment="0" applyProtection="0"/>
    <xf numFmtId="0" fontId="48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3" borderId="1" applyNumberFormat="0" applyAlignment="0" applyProtection="0"/>
    <xf numFmtId="0" fontId="0" fillId="34" borderId="0">
      <alignment/>
      <protection locked="0"/>
    </xf>
    <xf numFmtId="0" fontId="75" fillId="35" borderId="2" applyNumberFormat="0" applyAlignment="0" applyProtection="0"/>
    <xf numFmtId="49" fontId="0" fillId="36" borderId="3">
      <alignment vertical="top" wrapText="1"/>
      <protection/>
    </xf>
    <xf numFmtId="0" fontId="0" fillId="37" borderId="4">
      <alignment horizontal="center" vertical="center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29" fillId="0" borderId="0" applyFont="0" applyFill="0" applyBorder="0" applyAlignment="0" applyProtection="0"/>
    <xf numFmtId="188" fontId="0" fillId="0" borderId="0" applyFont="0" applyFill="0" applyBorder="0" applyAlignment="0" applyProtection="0"/>
    <xf numFmtId="49" fontId="0" fillId="0" borderId="0">
      <alignment vertical="top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31" fillId="38" borderId="0" applyNumberFormat="0" applyBorder="0">
      <alignment/>
      <protection locked="0"/>
    </xf>
    <xf numFmtId="3" fontId="43" fillId="0" borderId="3">
      <alignment horizontal="right" vertical="top"/>
      <protection/>
    </xf>
    <xf numFmtId="164" fontId="43" fillId="0" borderId="5">
      <alignment/>
      <protection/>
    </xf>
    <xf numFmtId="164" fontId="46" fillId="0" borderId="5">
      <alignment/>
      <protection/>
    </xf>
    <xf numFmtId="0" fontId="7" fillId="29" borderId="6">
      <alignment horizontal="centerContinuous" vertical="top" wrapText="1"/>
      <protection/>
    </xf>
    <xf numFmtId="0" fontId="47" fillId="0" borderId="0">
      <alignment horizontal="left" vertical="top"/>
      <protection/>
    </xf>
    <xf numFmtId="0" fontId="76" fillId="0" borderId="0" applyNumberFormat="0" applyFill="0" applyBorder="0" applyAlignment="0" applyProtection="0"/>
    <xf numFmtId="0" fontId="0" fillId="39" borderId="0">
      <alignment/>
      <protection locked="0"/>
    </xf>
    <xf numFmtId="0" fontId="7" fillId="37" borderId="0">
      <alignment vertical="center"/>
      <protection locked="0"/>
    </xf>
    <xf numFmtId="0" fontId="53" fillId="0" borderId="0" applyNumberFormat="0" applyFill="0" applyBorder="0" applyAlignment="0" applyProtection="0"/>
    <xf numFmtId="0" fontId="7" fillId="0" borderId="0">
      <alignment/>
      <protection locked="0"/>
    </xf>
    <xf numFmtId="0" fontId="77" fillId="40" borderId="0" applyNumberFormat="0" applyBorder="0" applyAlignment="0" applyProtection="0"/>
    <xf numFmtId="0" fontId="2" fillId="0" borderId="0">
      <alignment/>
      <protection locked="0"/>
    </xf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80" fillId="0" borderId="9" applyNumberFormat="0" applyFill="0" applyAlignment="0" applyProtection="0"/>
    <xf numFmtId="0" fontId="8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1" fontId="32" fillId="41" borderId="0" applyNumberFormat="0" applyBorder="0">
      <alignment horizontal="left"/>
      <protection locked="0"/>
    </xf>
    <xf numFmtId="0" fontId="82" fillId="42" borderId="1" applyNumberFormat="0" applyAlignment="0" applyProtection="0"/>
    <xf numFmtId="171" fontId="31" fillId="43" borderId="0" applyNumberFormat="0" applyBorder="0">
      <alignment horizontal="right"/>
      <protection locked="0"/>
    </xf>
    <xf numFmtId="171" fontId="83" fillId="44" borderId="0" applyNumberFormat="0" applyBorder="0">
      <alignment horizontal="right"/>
      <protection locked="0"/>
    </xf>
    <xf numFmtId="0" fontId="41" fillId="0" borderId="0">
      <alignment/>
      <protection/>
    </xf>
    <xf numFmtId="0" fontId="84" fillId="0" borderId="10" applyNumberFormat="0" applyFill="0" applyAlignment="0" applyProtection="0"/>
    <xf numFmtId="171" fontId="33" fillId="43" borderId="0" applyNumberFormat="0" applyBorder="0">
      <alignment horizontal="right"/>
      <protection locked="0"/>
    </xf>
    <xf numFmtId="171" fontId="34" fillId="43" borderId="0" applyNumberFormat="0" applyBorder="0">
      <alignment horizontal="right"/>
      <protection locked="0"/>
    </xf>
    <xf numFmtId="0" fontId="85" fillId="45" borderId="0" applyNumberFormat="0" applyBorder="0" applyAlignment="0" applyProtection="0"/>
    <xf numFmtId="0" fontId="1" fillId="0" borderId="0">
      <alignment/>
      <protection/>
    </xf>
    <xf numFmtId="0" fontId="86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 applyNumberFormat="0">
      <alignment/>
      <protection/>
    </xf>
    <xf numFmtId="0" fontId="28" fillId="0" borderId="0">
      <alignment/>
      <protection/>
    </xf>
    <xf numFmtId="0" fontId="87" fillId="0" borderId="0">
      <alignment/>
      <protection/>
    </xf>
    <xf numFmtId="0" fontId="2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1" fillId="0" borderId="0">
      <alignment/>
      <protection/>
    </xf>
    <xf numFmtId="0" fontId="0" fillId="0" borderId="0">
      <alignment/>
      <protection locked="0"/>
    </xf>
    <xf numFmtId="0" fontId="3" fillId="0" borderId="0">
      <alignment/>
      <protection/>
    </xf>
    <xf numFmtId="0" fontId="0" fillId="0" borderId="0">
      <alignment/>
      <protection/>
    </xf>
    <xf numFmtId="0" fontId="0" fillId="46" borderId="11" applyNumberFormat="0" applyFont="0" applyAlignment="0" applyProtection="0"/>
    <xf numFmtId="0" fontId="45" fillId="0" borderId="0">
      <alignment vertical="top"/>
      <protection/>
    </xf>
    <xf numFmtId="0" fontId="0" fillId="46" borderId="11" applyNumberFormat="0" applyFont="0" applyAlignment="0" applyProtection="0"/>
    <xf numFmtId="0" fontId="8" fillId="0" borderId="0">
      <alignment/>
      <protection/>
    </xf>
    <xf numFmtId="184" fontId="44" fillId="0" borderId="0">
      <alignment horizontal="right"/>
      <protection/>
    </xf>
    <xf numFmtId="0" fontId="88" fillId="33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0" fillId="37" borderId="13">
      <alignment vertical="center"/>
      <protection locked="0"/>
    </xf>
    <xf numFmtId="0" fontId="42" fillId="0" borderId="0">
      <alignment vertical="top" wrapText="1"/>
      <protection/>
    </xf>
    <xf numFmtId="0" fontId="42" fillId="0" borderId="0">
      <alignment vertical="top" wrapText="1"/>
      <protection/>
    </xf>
    <xf numFmtId="0" fontId="3" fillId="0" borderId="0">
      <alignment/>
      <protection/>
    </xf>
    <xf numFmtId="0" fontId="0" fillId="34" borderId="0">
      <alignment/>
      <protection locked="0"/>
    </xf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1" fontId="35" fillId="47" borderId="0" applyNumberFormat="0" applyBorder="0">
      <alignment horizontal="center"/>
      <protection locked="0"/>
    </xf>
    <xf numFmtId="171" fontId="12" fillId="43" borderId="0" applyNumberFormat="0" applyBorder="0">
      <alignment horizontal="left"/>
      <protection locked="0"/>
    </xf>
    <xf numFmtId="171" fontId="83" fillId="44" borderId="0" applyNumberFormat="0" applyBorder="0">
      <alignment horizontal="left"/>
      <protection locked="0"/>
    </xf>
    <xf numFmtId="171" fontId="36" fillId="38" borderId="0" applyNumberFormat="0" applyBorder="0">
      <alignment horizontal="center"/>
      <protection locked="0"/>
    </xf>
    <xf numFmtId="171" fontId="36" fillId="43" borderId="0" applyNumberFormat="0" applyBorder="0">
      <alignment horizontal="left"/>
      <protection locked="0"/>
    </xf>
    <xf numFmtId="0" fontId="11" fillId="38" borderId="0" applyNumberFormat="0" applyBorder="0">
      <alignment/>
      <protection locked="0"/>
    </xf>
    <xf numFmtId="171" fontId="11" fillId="38" borderId="0" applyNumberFormat="0" applyBorder="0">
      <alignment/>
      <protection locked="0"/>
    </xf>
    <xf numFmtId="171" fontId="12" fillId="48" borderId="0" applyNumberFormat="0" applyBorder="0">
      <alignment horizontal="left"/>
      <protection locked="0"/>
    </xf>
    <xf numFmtId="171" fontId="83" fillId="44" borderId="0" applyNumberFormat="0" applyBorder="0">
      <alignment horizontal="left"/>
      <protection locked="0"/>
    </xf>
    <xf numFmtId="171" fontId="37" fillId="38" borderId="0" applyNumberFormat="0" applyBorder="0">
      <alignment/>
      <protection locked="0"/>
    </xf>
    <xf numFmtId="0" fontId="91" fillId="0" borderId="14" applyNumberFormat="0" applyFill="0" applyAlignment="0" applyProtection="0"/>
    <xf numFmtId="171" fontId="12" fillId="49" borderId="0" applyNumberFormat="0" applyBorder="0">
      <alignment horizontal="right"/>
      <protection locked="0"/>
    </xf>
    <xf numFmtId="171" fontId="12" fillId="49" borderId="0" applyNumberFormat="0" applyBorder="0">
      <alignment/>
      <protection locked="0"/>
    </xf>
    <xf numFmtId="171" fontId="12" fillId="49" borderId="0" applyNumberFormat="0" applyBorder="0">
      <alignment/>
      <protection locked="0"/>
    </xf>
    <xf numFmtId="0" fontId="12" fillId="41" borderId="0" applyNumberFormat="0" applyBorder="0">
      <alignment/>
      <protection locked="0"/>
    </xf>
    <xf numFmtId="171" fontId="38" fillId="50" borderId="0" applyNumberFormat="0" applyBorder="0">
      <alignment/>
      <protection locked="0"/>
    </xf>
    <xf numFmtId="171" fontId="39" fillId="50" borderId="0" applyNumberFormat="0" applyBorder="0">
      <alignment/>
      <protection locked="0"/>
    </xf>
    <xf numFmtId="171" fontId="12" fillId="43" borderId="0" applyNumberFormat="0" applyBorder="0">
      <alignment/>
      <protection locked="0"/>
    </xf>
    <xf numFmtId="171" fontId="12" fillId="43" borderId="0" applyNumberFormat="0" applyBorder="0">
      <alignment/>
      <protection locked="0"/>
    </xf>
    <xf numFmtId="171" fontId="12" fillId="43" borderId="0" applyNumberFormat="0" applyBorder="0">
      <alignment/>
      <protection locked="0"/>
    </xf>
    <xf numFmtId="171" fontId="12" fillId="41" borderId="0" applyNumberFormat="0" applyBorder="0">
      <alignment/>
      <protection locked="0"/>
    </xf>
    <xf numFmtId="171" fontId="40" fillId="51" borderId="0" applyNumberFormat="0" applyBorder="0">
      <alignment/>
      <protection locked="0"/>
    </xf>
    <xf numFmtId="188" fontId="0" fillId="0" borderId="0" applyFon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92" fillId="0" borderId="0" applyNumberFormat="0" applyFill="0" applyBorder="0" applyAlignment="0" applyProtection="0"/>
  </cellStyleXfs>
  <cellXfs count="111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1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0" fontId="3" fillId="0" borderId="0" xfId="0" applyFont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 quotePrefix="1">
      <alignment horizontal="right" vertical="top"/>
    </xf>
    <xf numFmtId="0" fontId="5" fillId="0" borderId="0" xfId="0" applyFont="1" applyBorder="1" applyAlignment="1" quotePrefix="1">
      <alignment horizontal="right" vertical="top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9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lef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right" vertical="top"/>
    </xf>
    <xf numFmtId="0" fontId="6" fillId="0" borderId="0" xfId="0" applyFont="1" applyBorder="1" applyAlignment="1">
      <alignment vertical="top"/>
    </xf>
    <xf numFmtId="9" fontId="5" fillId="0" borderId="0" xfId="0" applyNumberFormat="1" applyFont="1" applyAlignment="1" quotePrefix="1">
      <alignment horizontal="right" vertical="top"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 horizontal="right" vertical="center"/>
    </xf>
    <xf numFmtId="1" fontId="13" fillId="0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Border="1" applyAlignment="1" applyProtection="1">
      <alignment horizontal="right" vertical="center"/>
      <protection/>
    </xf>
    <xf numFmtId="3" fontId="3" fillId="0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Alignment="1">
      <alignment/>
    </xf>
    <xf numFmtId="0" fontId="0" fillId="0" borderId="0" xfId="0" applyAlignment="1">
      <alignment vertical="top"/>
    </xf>
    <xf numFmtId="1" fontId="4" fillId="52" borderId="18" xfId="0" applyNumberFormat="1" applyFont="1" applyFill="1" applyBorder="1" applyAlignment="1">
      <alignment horizontal="center" vertical="center"/>
    </xf>
    <xf numFmtId="1" fontId="4" fillId="52" borderId="17" xfId="0" applyNumberFormat="1" applyFont="1" applyFill="1" applyBorder="1" applyAlignment="1">
      <alignment horizontal="center" vertical="center"/>
    </xf>
    <xf numFmtId="1" fontId="4" fillId="52" borderId="19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13" fillId="53" borderId="15" xfId="0" applyFont="1" applyFill="1" applyBorder="1" applyAlignment="1">
      <alignment horizontal="center" vertical="center" wrapText="1"/>
    </xf>
    <xf numFmtId="0" fontId="13" fillId="53" borderId="20" xfId="0" applyFont="1" applyFill="1" applyBorder="1" applyAlignment="1">
      <alignment horizontal="center" vertical="center" wrapText="1"/>
    </xf>
    <xf numFmtId="0" fontId="13" fillId="53" borderId="4" xfId="0" applyFont="1" applyFill="1" applyBorder="1" applyAlignment="1">
      <alignment horizontal="center" vertical="center" wrapText="1"/>
    </xf>
    <xf numFmtId="0" fontId="13" fillId="53" borderId="16" xfId="0" applyFont="1" applyFill="1" applyBorder="1" applyAlignment="1">
      <alignment horizontal="center" vertical="center" wrapText="1"/>
    </xf>
    <xf numFmtId="0" fontId="4" fillId="53" borderId="4" xfId="0" applyFont="1" applyFill="1" applyBorder="1" applyAlignment="1">
      <alignment horizontal="center"/>
    </xf>
    <xf numFmtId="0" fontId="4" fillId="53" borderId="15" xfId="0" applyFont="1" applyFill="1" applyBorder="1" applyAlignment="1">
      <alignment horizontal="center"/>
    </xf>
    <xf numFmtId="0" fontId="4" fillId="53" borderId="4" xfId="0" applyFont="1" applyFill="1" applyBorder="1" applyAlignment="1">
      <alignment horizontal="center" vertical="center"/>
    </xf>
    <xf numFmtId="0" fontId="4" fillId="53" borderId="16" xfId="0" applyFont="1" applyFill="1" applyBorder="1" applyAlignment="1">
      <alignment horizontal="center" vertical="center"/>
    </xf>
    <xf numFmtId="0" fontId="4" fillId="53" borderId="15" xfId="0" applyFont="1" applyFill="1" applyBorder="1" applyAlignment="1">
      <alignment horizontal="center" vertical="center"/>
    </xf>
    <xf numFmtId="1" fontId="4" fillId="52" borderId="21" xfId="0" applyNumberFormat="1" applyFont="1" applyFill="1" applyBorder="1" applyAlignment="1">
      <alignment horizontal="center" vertical="center"/>
    </xf>
    <xf numFmtId="1" fontId="4" fillId="52" borderId="13" xfId="0" applyNumberFormat="1" applyFont="1" applyFill="1" applyBorder="1" applyAlignment="1">
      <alignment horizontal="center" vertical="center"/>
    </xf>
    <xf numFmtId="1" fontId="4" fillId="52" borderId="2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3" fontId="4" fillId="52" borderId="18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53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0" fontId="4" fillId="53" borderId="23" xfId="0" applyFont="1" applyFill="1" applyBorder="1" applyAlignment="1">
      <alignment horizontal="center" vertical="center"/>
    </xf>
    <xf numFmtId="0" fontId="4" fillId="53" borderId="24" xfId="0" applyFont="1" applyFill="1" applyBorder="1" applyAlignment="1">
      <alignment horizontal="center" vertical="center"/>
    </xf>
    <xf numFmtId="0" fontId="4" fillId="53" borderId="1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71" fontId="4" fillId="53" borderId="25" xfId="0" applyNumberFormat="1" applyFont="1" applyFill="1" applyBorder="1" applyAlignment="1">
      <alignment horizontal="right" vertical="center"/>
    </xf>
    <xf numFmtId="171" fontId="4" fillId="53" borderId="26" xfId="0" applyNumberFormat="1" applyFont="1" applyFill="1" applyBorder="1" applyAlignment="1">
      <alignment horizontal="right" vertical="center"/>
    </xf>
    <xf numFmtId="171" fontId="4" fillId="53" borderId="27" xfId="0" applyNumberFormat="1" applyFont="1" applyFill="1" applyBorder="1" applyAlignment="1">
      <alignment horizontal="right" vertical="center"/>
    </xf>
    <xf numFmtId="171" fontId="4" fillId="53" borderId="0" xfId="0" applyNumberFormat="1" applyFont="1" applyFill="1" applyBorder="1" applyAlignment="1">
      <alignment horizontal="right" vertical="center"/>
    </xf>
    <xf numFmtId="171" fontId="3" fillId="0" borderId="25" xfId="0" applyNumberFormat="1" applyFont="1" applyFill="1" applyBorder="1" applyAlignment="1">
      <alignment vertical="center"/>
    </xf>
    <xf numFmtId="171" fontId="3" fillId="0" borderId="26" xfId="0" applyNumberFormat="1" applyFont="1" applyFill="1" applyBorder="1" applyAlignment="1">
      <alignment vertical="center"/>
    </xf>
    <xf numFmtId="171" fontId="3" fillId="53" borderId="27" xfId="0" applyNumberFormat="1" applyFont="1" applyFill="1" applyBorder="1" applyAlignment="1">
      <alignment vertical="center"/>
    </xf>
    <xf numFmtId="171" fontId="3" fillId="53" borderId="0" xfId="0" applyNumberFormat="1" applyFont="1" applyFill="1" applyBorder="1" applyAlignment="1">
      <alignment vertical="center"/>
    </xf>
    <xf numFmtId="171" fontId="3" fillId="0" borderId="27" xfId="0" applyNumberFormat="1" applyFont="1" applyFill="1" applyBorder="1" applyAlignment="1" quotePrefix="1">
      <alignment horizontal="right" vertical="center"/>
    </xf>
    <xf numFmtId="171" fontId="3" fillId="0" borderId="0" xfId="0" applyNumberFormat="1" applyFont="1" applyFill="1" applyBorder="1" applyAlignment="1" quotePrefix="1">
      <alignment horizontal="right" vertical="center"/>
    </xf>
    <xf numFmtId="171" fontId="3" fillId="0" borderId="0" xfId="0" applyNumberFormat="1" applyFont="1" applyFill="1" applyBorder="1" applyAlignment="1">
      <alignment vertical="center"/>
    </xf>
    <xf numFmtId="171" fontId="3" fillId="0" borderId="27" xfId="0" applyNumberFormat="1" applyFont="1" applyFill="1" applyBorder="1" applyAlignment="1">
      <alignment vertical="center"/>
    </xf>
    <xf numFmtId="171" fontId="3" fillId="0" borderId="0" xfId="0" applyNumberFormat="1" applyFont="1" applyFill="1" applyBorder="1" applyAlignment="1">
      <alignment horizontal="right" vertical="center"/>
    </xf>
    <xf numFmtId="171" fontId="3" fillId="0" borderId="27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 wrapText="1"/>
    </xf>
    <xf numFmtId="1" fontId="4" fillId="52" borderId="0" xfId="0" applyNumberFormat="1" applyFont="1" applyFill="1" applyBorder="1" applyAlignment="1">
      <alignment horizontal="center" vertical="center"/>
    </xf>
    <xf numFmtId="1" fontId="4" fillId="52" borderId="25" xfId="0" applyNumberFormat="1" applyFont="1" applyFill="1" applyBorder="1" applyAlignment="1">
      <alignment horizontal="center"/>
    </xf>
    <xf numFmtId="1" fontId="4" fillId="52" borderId="26" xfId="0" applyNumberFormat="1" applyFont="1" applyFill="1" applyBorder="1" applyAlignment="1">
      <alignment horizontal="center"/>
    </xf>
    <xf numFmtId="175" fontId="10" fillId="53" borderId="26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top"/>
    </xf>
    <xf numFmtId="174" fontId="3" fillId="53" borderId="24" xfId="0" applyNumberFormat="1" applyFont="1" applyFill="1" applyBorder="1" applyAlignment="1">
      <alignment horizontal="right" vertical="center"/>
    </xf>
    <xf numFmtId="0" fontId="3" fillId="52" borderId="18" xfId="0" applyFont="1" applyFill="1" applyBorder="1" applyAlignment="1">
      <alignment horizontal="center" vertical="top" wrapText="1"/>
    </xf>
    <xf numFmtId="0" fontId="3" fillId="52" borderId="19" xfId="0" applyFont="1" applyFill="1" applyBorder="1" applyAlignment="1">
      <alignment horizontal="center" vertical="top" wrapText="1"/>
    </xf>
    <xf numFmtId="0" fontId="3" fillId="52" borderId="16" xfId="0" applyFont="1" applyFill="1" applyBorder="1" applyAlignment="1">
      <alignment horizontal="center" vertical="top" wrapText="1"/>
    </xf>
    <xf numFmtId="175" fontId="9" fillId="0" borderId="0" xfId="0" applyNumberFormat="1" applyFont="1" applyFill="1" applyBorder="1" applyAlignment="1">
      <alignment horizontal="right" vertical="center"/>
    </xf>
    <xf numFmtId="0" fontId="3" fillId="52" borderId="24" xfId="0" applyFont="1" applyFill="1" applyBorder="1" applyAlignment="1">
      <alignment horizontal="center" vertical="top" wrapText="1"/>
    </xf>
    <xf numFmtId="0" fontId="3" fillId="52" borderId="4" xfId="0" applyFont="1" applyFill="1" applyBorder="1" applyAlignment="1">
      <alignment horizontal="center" vertical="top" wrapText="1"/>
    </xf>
    <xf numFmtId="0" fontId="3" fillId="52" borderId="27" xfId="0" applyFont="1" applyFill="1" applyBorder="1" applyAlignment="1">
      <alignment horizontal="center" vertical="top" wrapText="1"/>
    </xf>
    <xf numFmtId="0" fontId="14" fillId="0" borderId="0" xfId="0" applyFont="1" applyAlignment="1" quotePrefix="1">
      <alignment horizontal="left"/>
    </xf>
    <xf numFmtId="0" fontId="0" fillId="0" borderId="24" xfId="0" applyFill="1" applyBorder="1" applyAlignment="1">
      <alignment/>
    </xf>
    <xf numFmtId="0" fontId="0" fillId="0" borderId="19" xfId="0" applyFill="1" applyBorder="1" applyAlignment="1">
      <alignment/>
    </xf>
    <xf numFmtId="0" fontId="13" fillId="52" borderId="15" xfId="0" applyFont="1" applyFill="1" applyBorder="1" applyAlignment="1">
      <alignment horizontal="center" wrapText="1"/>
    </xf>
    <xf numFmtId="1" fontId="4" fillId="52" borderId="15" xfId="0" applyNumberFormat="1" applyFont="1" applyFill="1" applyBorder="1" applyAlignment="1">
      <alignment horizontal="center"/>
    </xf>
    <xf numFmtId="1" fontId="4" fillId="52" borderId="4" xfId="0" applyNumberFormat="1" applyFont="1" applyFill="1" applyBorder="1" applyAlignment="1">
      <alignment horizontal="center" vertical="center"/>
    </xf>
    <xf numFmtId="1" fontId="4" fillId="52" borderId="6" xfId="0" applyNumberFormat="1" applyFont="1" applyFill="1" applyBorder="1" applyAlignment="1">
      <alignment horizontal="center" vertical="center"/>
    </xf>
    <xf numFmtId="175" fontId="10" fillId="53" borderId="15" xfId="0" applyNumberFormat="1" applyFont="1" applyFill="1" applyBorder="1" applyAlignment="1">
      <alignment horizontal="right" vertical="center"/>
    </xf>
    <xf numFmtId="175" fontId="10" fillId="53" borderId="16" xfId="0" applyNumberFormat="1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7" fontId="2" fillId="0" borderId="0" xfId="0" applyNumberFormat="1" applyFont="1" applyBorder="1" applyAlignment="1" quotePrefix="1">
      <alignment horizontal="center" vertical="center" wrapText="1"/>
    </xf>
    <xf numFmtId="0" fontId="19" fillId="0" borderId="0" xfId="0" applyFont="1" applyAlignment="1">
      <alignment horizontal="center"/>
    </xf>
    <xf numFmtId="49" fontId="0" fillId="0" borderId="0" xfId="0" applyNumberFormat="1" applyFont="1" applyAlignment="1">
      <alignment horizontal="left" vertical="center"/>
    </xf>
    <xf numFmtId="172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 quotePrefix="1">
      <alignment horizontal="left" vertical="center"/>
    </xf>
    <xf numFmtId="173" fontId="0" fillId="0" borderId="0" xfId="0" applyNumberFormat="1" applyFont="1" applyAlignment="1" quotePrefix="1">
      <alignment horizontal="left" vertic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vertical="top"/>
    </xf>
    <xf numFmtId="174" fontId="4" fillId="53" borderId="19" xfId="0" applyNumberFormat="1" applyFont="1" applyFill="1" applyBorder="1" applyAlignment="1">
      <alignment horizontal="right" vertical="center"/>
    </xf>
    <xf numFmtId="174" fontId="3" fillId="0" borderId="24" xfId="0" applyNumberFormat="1" applyFont="1" applyFill="1" applyBorder="1" applyAlignment="1">
      <alignment horizontal="right" vertical="center"/>
    </xf>
    <xf numFmtId="166" fontId="3" fillId="0" borderId="26" xfId="0" applyNumberFormat="1" applyFont="1" applyFill="1" applyBorder="1" applyAlignment="1">
      <alignment horizontal="right" vertical="center"/>
    </xf>
    <xf numFmtId="166" fontId="3" fillId="53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6" fontId="3" fillId="0" borderId="17" xfId="0" applyNumberFormat="1" applyFont="1" applyFill="1" applyBorder="1" applyAlignment="1">
      <alignment horizontal="right" vertical="center"/>
    </xf>
    <xf numFmtId="1" fontId="4" fillId="52" borderId="27" xfId="0" applyNumberFormat="1" applyFont="1" applyFill="1" applyBorder="1" applyAlignment="1">
      <alignment horizontal="center" vertical="center"/>
    </xf>
    <xf numFmtId="166" fontId="3" fillId="0" borderId="25" xfId="0" applyNumberFormat="1" applyFont="1" applyFill="1" applyBorder="1" applyAlignment="1">
      <alignment horizontal="right" vertical="center"/>
    </xf>
    <xf numFmtId="166" fontId="3" fillId="53" borderId="27" xfId="0" applyNumberFormat="1" applyFont="1" applyFill="1" applyBorder="1" applyAlignment="1">
      <alignment horizontal="right" vertical="center"/>
    </xf>
    <xf numFmtId="166" fontId="3" fillId="0" borderId="27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/>
    </xf>
    <xf numFmtId="166" fontId="6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5" fillId="0" borderId="0" xfId="0" applyNumberFormat="1" applyFont="1" applyAlignment="1" quotePrefix="1">
      <alignment horizontal="right" vertical="top"/>
    </xf>
    <xf numFmtId="166" fontId="3" fillId="0" borderId="0" xfId="0" applyNumberFormat="1" applyFont="1" applyFill="1" applyBorder="1" applyAlignment="1">
      <alignment/>
    </xf>
    <xf numFmtId="166" fontId="3" fillId="0" borderId="0" xfId="0" applyNumberFormat="1" applyFont="1" applyBorder="1" applyAlignment="1">
      <alignment horizontal="right" vertical="top"/>
    </xf>
    <xf numFmtId="175" fontId="10" fillId="53" borderId="25" xfId="0" applyNumberFormat="1" applyFont="1" applyFill="1" applyBorder="1" applyAlignment="1">
      <alignment horizontal="right" vertical="center"/>
    </xf>
    <xf numFmtId="175" fontId="10" fillId="53" borderId="18" xfId="0" applyNumberFormat="1" applyFont="1" applyFill="1" applyBorder="1" applyAlignment="1">
      <alignment horizontal="right" vertical="center"/>
    </xf>
    <xf numFmtId="166" fontId="3" fillId="0" borderId="15" xfId="0" applyNumberFormat="1" applyFont="1" applyFill="1" applyBorder="1" applyAlignment="1">
      <alignment horizontal="right" vertical="center"/>
    </xf>
    <xf numFmtId="166" fontId="3" fillId="53" borderId="4" xfId="0" applyNumberFormat="1" applyFont="1" applyFill="1" applyBorder="1" applyAlignment="1">
      <alignment horizontal="right" vertical="center"/>
    </xf>
    <xf numFmtId="166" fontId="3" fillId="0" borderId="4" xfId="0" applyNumberFormat="1" applyFont="1" applyFill="1" applyBorder="1" applyAlignment="1">
      <alignment horizontal="right" vertical="center"/>
    </xf>
    <xf numFmtId="166" fontId="3" fillId="0" borderId="16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top"/>
    </xf>
    <xf numFmtId="175" fontId="4" fillId="53" borderId="26" xfId="0" applyNumberFormat="1" applyFont="1" applyFill="1" applyBorder="1" applyAlignment="1">
      <alignment horizontal="right" vertical="center"/>
    </xf>
    <xf numFmtId="175" fontId="4" fillId="53" borderId="4" xfId="0" applyNumberFormat="1" applyFont="1" applyFill="1" applyBorder="1" applyAlignment="1">
      <alignment horizontal="right" vertical="center"/>
    </xf>
    <xf numFmtId="175" fontId="4" fillId="53" borderId="27" xfId="0" applyNumberFormat="1" applyFont="1" applyFill="1" applyBorder="1" applyAlignment="1">
      <alignment horizontal="right" vertical="center"/>
    </xf>
    <xf numFmtId="175" fontId="4" fillId="53" borderId="0" xfId="0" applyNumberFormat="1" applyFont="1" applyFill="1" applyBorder="1" applyAlignment="1">
      <alignment horizontal="right" vertical="center"/>
    </xf>
    <xf numFmtId="175" fontId="4" fillId="53" borderId="17" xfId="0" applyNumberFormat="1" applyFont="1" applyFill="1" applyBorder="1" applyAlignment="1">
      <alignment horizontal="right" vertical="center"/>
    </xf>
    <xf numFmtId="175" fontId="3" fillId="0" borderId="15" xfId="0" applyNumberFormat="1" applyFont="1" applyFill="1" applyBorder="1" applyAlignment="1">
      <alignment horizontal="right" vertical="center"/>
    </xf>
    <xf numFmtId="175" fontId="3" fillId="0" borderId="25" xfId="0" applyNumberFormat="1" applyFont="1" applyFill="1" applyBorder="1" applyAlignment="1">
      <alignment horizontal="right" vertical="center"/>
    </xf>
    <xf numFmtId="175" fontId="3" fillId="0" borderId="26" xfId="0" applyNumberFormat="1" applyFont="1" applyFill="1" applyBorder="1" applyAlignment="1">
      <alignment horizontal="right" vertical="center"/>
    </xf>
    <xf numFmtId="175" fontId="3" fillId="53" borderId="4" xfId="0" applyNumberFormat="1" applyFont="1" applyFill="1" applyBorder="1" applyAlignment="1">
      <alignment horizontal="right" vertical="center"/>
    </xf>
    <xf numFmtId="175" fontId="3" fillId="53" borderId="27" xfId="0" applyNumberFormat="1" applyFont="1" applyFill="1" applyBorder="1" applyAlignment="1">
      <alignment horizontal="right" vertical="center"/>
    </xf>
    <xf numFmtId="175" fontId="3" fillId="53" borderId="0" xfId="0" applyNumberFormat="1" applyFont="1" applyFill="1" applyBorder="1" applyAlignment="1">
      <alignment horizontal="right" vertical="center"/>
    </xf>
    <xf numFmtId="175" fontId="3" fillId="0" borderId="4" xfId="0" applyNumberFormat="1" applyFont="1" applyFill="1" applyBorder="1" applyAlignment="1">
      <alignment horizontal="right" vertical="center"/>
    </xf>
    <xf numFmtId="175" fontId="3" fillId="0" borderId="27" xfId="0" applyNumberFormat="1" applyFont="1" applyFill="1" applyBorder="1" applyAlignment="1">
      <alignment horizontal="right" vertical="center"/>
    </xf>
    <xf numFmtId="175" fontId="3" fillId="0" borderId="0" xfId="0" applyNumberFormat="1" applyFont="1" applyFill="1" applyBorder="1" applyAlignment="1">
      <alignment horizontal="right" vertical="center"/>
    </xf>
    <xf numFmtId="175" fontId="3" fillId="0" borderId="16" xfId="0" applyNumberFormat="1" applyFont="1" applyFill="1" applyBorder="1" applyAlignment="1">
      <alignment horizontal="right" vertical="center"/>
    </xf>
    <xf numFmtId="175" fontId="3" fillId="0" borderId="18" xfId="0" applyNumberFormat="1" applyFont="1" applyFill="1" applyBorder="1" applyAlignment="1">
      <alignment horizontal="right" vertical="center"/>
    </xf>
    <xf numFmtId="175" fontId="3" fillId="0" borderId="17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9" fontId="6" fillId="0" borderId="0" xfId="0" applyNumberFormat="1" applyFont="1" applyAlignment="1">
      <alignment horizontal="center"/>
    </xf>
    <xf numFmtId="0" fontId="13" fillId="52" borderId="23" xfId="0" applyFont="1" applyFill="1" applyBorder="1" applyAlignment="1">
      <alignment horizontal="center" wrapText="1"/>
    </xf>
    <xf numFmtId="0" fontId="4" fillId="52" borderId="24" xfId="0" applyFont="1" applyFill="1" applyBorder="1" applyAlignment="1">
      <alignment horizontal="center" vertical="top"/>
    </xf>
    <xf numFmtId="0" fontId="4" fillId="54" borderId="15" xfId="0" applyFont="1" applyFill="1" applyBorder="1" applyAlignment="1">
      <alignment horizontal="center" vertical="center"/>
    </xf>
    <xf numFmtId="166" fontId="4" fillId="54" borderId="26" xfId="0" applyNumberFormat="1" applyFont="1" applyFill="1" applyBorder="1" applyAlignment="1">
      <alignment horizontal="right"/>
    </xf>
    <xf numFmtId="0" fontId="4" fillId="54" borderId="4" xfId="0" applyFont="1" applyFill="1" applyBorder="1" applyAlignment="1">
      <alignment horizontal="center" vertical="center"/>
    </xf>
    <xf numFmtId="166" fontId="4" fillId="54" borderId="0" xfId="0" applyNumberFormat="1" applyFont="1" applyFill="1" applyBorder="1" applyAlignment="1">
      <alignment horizontal="right"/>
    </xf>
    <xf numFmtId="0" fontId="4" fillId="54" borderId="16" xfId="0" applyFont="1" applyFill="1" applyBorder="1" applyAlignment="1">
      <alignment horizontal="center" vertical="center"/>
    </xf>
    <xf numFmtId="166" fontId="4" fillId="54" borderId="17" xfId="0" applyNumberFormat="1" applyFont="1" applyFill="1" applyBorder="1" applyAlignment="1">
      <alignment horizontal="right"/>
    </xf>
    <xf numFmtId="167" fontId="3" fillId="0" borderId="4" xfId="0" applyNumberFormat="1" applyFont="1" applyFill="1" applyBorder="1" applyAlignment="1">
      <alignment horizontal="right" vertical="center"/>
    </xf>
    <xf numFmtId="167" fontId="3" fillId="54" borderId="4" xfId="0" applyNumberFormat="1" applyFont="1" applyFill="1" applyBorder="1" applyAlignment="1">
      <alignment horizontal="right" vertical="center"/>
    </xf>
    <xf numFmtId="166" fontId="4" fillId="54" borderId="0" xfId="0" applyNumberFormat="1" applyFont="1" applyFill="1" applyBorder="1" applyAlignment="1">
      <alignment horizontal="right" vertical="center"/>
    </xf>
    <xf numFmtId="167" fontId="3" fillId="54" borderId="16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" fontId="4" fillId="52" borderId="23" xfId="0" applyNumberFormat="1" applyFont="1" applyFill="1" applyBorder="1" applyAlignment="1">
      <alignment horizontal="center"/>
    </xf>
    <xf numFmtId="166" fontId="4" fillId="54" borderId="15" xfId="0" applyNumberFormat="1" applyFont="1" applyFill="1" applyBorder="1" applyAlignment="1">
      <alignment horizontal="right"/>
    </xf>
    <xf numFmtId="166" fontId="10" fillId="54" borderId="26" xfId="0" applyNumberFormat="1" applyFont="1" applyFill="1" applyBorder="1" applyAlignment="1">
      <alignment horizontal="right"/>
    </xf>
    <xf numFmtId="166" fontId="4" fillId="54" borderId="4" xfId="0" applyNumberFormat="1" applyFont="1" applyFill="1" applyBorder="1" applyAlignment="1">
      <alignment horizontal="right"/>
    </xf>
    <xf numFmtId="166" fontId="10" fillId="54" borderId="0" xfId="0" applyNumberFormat="1" applyFont="1" applyFill="1" applyBorder="1" applyAlignment="1">
      <alignment horizontal="right"/>
    </xf>
    <xf numFmtId="166" fontId="4" fillId="54" borderId="16" xfId="0" applyNumberFormat="1" applyFont="1" applyFill="1" applyBorder="1" applyAlignment="1">
      <alignment horizontal="right"/>
    </xf>
    <xf numFmtId="166" fontId="4" fillId="54" borderId="19" xfId="0" applyNumberFormat="1" applyFont="1" applyFill="1" applyBorder="1" applyAlignment="1">
      <alignment horizontal="right"/>
    </xf>
    <xf numFmtId="2" fontId="3" fillId="0" borderId="4" xfId="0" applyNumberFormat="1" applyFont="1" applyFill="1" applyBorder="1" applyAlignment="1">
      <alignment horizontal="right" vertical="center"/>
    </xf>
    <xf numFmtId="2" fontId="3" fillId="54" borderId="4" xfId="0" applyNumberFormat="1" applyFont="1" applyFill="1" applyBorder="1" applyAlignment="1">
      <alignment horizontal="right" vertical="center"/>
    </xf>
    <xf numFmtId="2" fontId="3" fillId="0" borderId="16" xfId="0" applyNumberFormat="1" applyFont="1" applyFill="1" applyBorder="1" applyAlignment="1">
      <alignment horizontal="right" vertical="center"/>
    </xf>
    <xf numFmtId="0" fontId="4" fillId="52" borderId="16" xfId="0" applyFont="1" applyFill="1" applyBorder="1" applyAlignment="1">
      <alignment horizontal="center" vertical="center"/>
    </xf>
    <xf numFmtId="166" fontId="3" fillId="54" borderId="0" xfId="0" applyNumberFormat="1" applyFont="1" applyFill="1" applyBorder="1" applyAlignment="1">
      <alignment horizontal="right" vertical="center"/>
    </xf>
    <xf numFmtId="166" fontId="9" fillId="54" borderId="0" xfId="0" applyNumberFormat="1" applyFont="1" applyFill="1" applyBorder="1" applyAlignment="1">
      <alignment horizontal="right" vertical="center"/>
    </xf>
    <xf numFmtId="166" fontId="3" fillId="54" borderId="24" xfId="0" applyNumberFormat="1" applyFont="1" applyFill="1" applyBorder="1" applyAlignment="1">
      <alignment horizontal="right" vertical="center"/>
    </xf>
    <xf numFmtId="166" fontId="3" fillId="0" borderId="24" xfId="0" applyNumberFormat="1" applyFont="1" applyFill="1" applyBorder="1" applyAlignment="1">
      <alignment horizontal="right" vertical="center"/>
    </xf>
    <xf numFmtId="166" fontId="3" fillId="54" borderId="19" xfId="0" applyNumberFormat="1" applyFont="1" applyFill="1" applyBorder="1" applyAlignment="1">
      <alignment horizontal="right" vertical="center"/>
    </xf>
    <xf numFmtId="166" fontId="3" fillId="54" borderId="4" xfId="0" applyNumberFormat="1" applyFont="1" applyFill="1" applyBorder="1" applyAlignment="1">
      <alignment horizontal="right" vertical="center"/>
    </xf>
    <xf numFmtId="166" fontId="3" fillId="54" borderId="16" xfId="0" applyNumberFormat="1" applyFont="1" applyFill="1" applyBorder="1" applyAlignment="1">
      <alignment horizontal="right" vertical="center"/>
    </xf>
    <xf numFmtId="0" fontId="4" fillId="52" borderId="16" xfId="0" applyFont="1" applyFill="1" applyBorder="1" applyAlignment="1">
      <alignment horizontal="center" vertical="top"/>
    </xf>
    <xf numFmtId="166" fontId="4" fillId="53" borderId="15" xfId="0" applyNumberFormat="1" applyFont="1" applyFill="1" applyBorder="1" applyAlignment="1">
      <alignment horizontal="right" vertical="center"/>
    </xf>
    <xf numFmtId="166" fontId="4" fillId="53" borderId="4" xfId="0" applyNumberFormat="1" applyFont="1" applyFill="1" applyBorder="1" applyAlignment="1">
      <alignment horizontal="right" vertical="center"/>
    </xf>
    <xf numFmtId="166" fontId="4" fillId="53" borderId="16" xfId="0" applyNumberFormat="1" applyFont="1" applyFill="1" applyBorder="1" applyAlignment="1">
      <alignment horizontal="right" vertical="center"/>
    </xf>
    <xf numFmtId="1" fontId="4" fillId="52" borderId="21" xfId="0" applyNumberFormat="1" applyFont="1" applyFill="1" applyBorder="1" applyAlignment="1">
      <alignment horizontal="center" vertical="center"/>
    </xf>
    <xf numFmtId="1" fontId="4" fillId="52" borderId="13" xfId="0" applyNumberFormat="1" applyFont="1" applyFill="1" applyBorder="1" applyAlignment="1">
      <alignment horizontal="center" vertical="center"/>
    </xf>
    <xf numFmtId="1" fontId="4" fillId="52" borderId="22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66" fontId="4" fillId="53" borderId="25" xfId="0" applyNumberFormat="1" applyFont="1" applyFill="1" applyBorder="1" applyAlignment="1">
      <alignment horizontal="right" vertical="center"/>
    </xf>
    <xf numFmtId="166" fontId="4" fillId="53" borderId="26" xfId="0" applyNumberFormat="1" applyFont="1" applyFill="1" applyBorder="1" applyAlignment="1">
      <alignment horizontal="right" vertical="center"/>
    </xf>
    <xf numFmtId="0" fontId="4" fillId="53" borderId="4" xfId="0" applyFont="1" applyFill="1" applyBorder="1" applyAlignment="1">
      <alignment horizontal="center" vertical="center"/>
    </xf>
    <xf numFmtId="166" fontId="4" fillId="53" borderId="27" xfId="0" applyNumberFormat="1" applyFont="1" applyFill="1" applyBorder="1" applyAlignment="1">
      <alignment horizontal="right" vertical="center"/>
    </xf>
    <xf numFmtId="166" fontId="4" fillId="53" borderId="18" xfId="0" applyNumberFormat="1" applyFont="1" applyFill="1" applyBorder="1" applyAlignment="1">
      <alignment horizontal="right" vertical="center"/>
    </xf>
    <xf numFmtId="166" fontId="4" fillId="53" borderId="17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53" borderId="2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66" fontId="3" fillId="0" borderId="19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1" fontId="4" fillId="34" borderId="15" xfId="0" applyNumberFormat="1" applyFont="1" applyFill="1" applyBorder="1" applyAlignment="1" quotePrefix="1">
      <alignment horizontal="center" vertical="center"/>
    </xf>
    <xf numFmtId="1" fontId="4" fillId="34" borderId="4" xfId="0" applyNumberFormat="1" applyFont="1" applyFill="1" applyBorder="1" applyAlignment="1" quotePrefix="1">
      <alignment horizontal="center" vertical="center"/>
    </xf>
    <xf numFmtId="1" fontId="4" fillId="52" borderId="18" xfId="0" applyNumberFormat="1" applyFont="1" applyFill="1" applyBorder="1" applyAlignment="1">
      <alignment horizontal="center" vertical="center"/>
    </xf>
    <xf numFmtId="1" fontId="4" fillId="52" borderId="17" xfId="0" applyNumberFormat="1" applyFont="1" applyFill="1" applyBorder="1" applyAlignment="1">
      <alignment horizontal="center" vertical="center"/>
    </xf>
    <xf numFmtId="1" fontId="4" fillId="52" borderId="19" xfId="0" applyNumberFormat="1" applyFont="1" applyFill="1" applyBorder="1" applyAlignment="1">
      <alignment horizontal="center" vertical="center"/>
    </xf>
    <xf numFmtId="169" fontId="10" fillId="53" borderId="4" xfId="0" applyNumberFormat="1" applyFont="1" applyFill="1" applyBorder="1" applyAlignment="1">
      <alignment horizontal="right" vertical="center"/>
    </xf>
    <xf numFmtId="3" fontId="4" fillId="53" borderId="0" xfId="0" applyNumberFormat="1" applyFont="1" applyFill="1" applyBorder="1" applyAlignment="1">
      <alignment horizontal="right" vertical="center"/>
    </xf>
    <xf numFmtId="169" fontId="16" fillId="0" borderId="23" xfId="140" applyNumberFormat="1" applyFont="1" applyFill="1" applyBorder="1" applyAlignment="1">
      <alignment vertical="center"/>
      <protection locked="0"/>
    </xf>
    <xf numFmtId="169" fontId="16" fillId="53" borderId="24" xfId="140" applyNumberFormat="1" applyFont="1" applyFill="1" applyBorder="1" applyAlignment="1">
      <alignment vertical="center"/>
      <protection locked="0"/>
    </xf>
    <xf numFmtId="169" fontId="16" fillId="0" borderId="24" xfId="140" applyNumberFormat="1" applyFont="1" applyFill="1" applyBorder="1" applyAlignment="1">
      <alignment vertical="center"/>
      <protection locked="0"/>
    </xf>
    <xf numFmtId="169" fontId="16" fillId="0" borderId="19" xfId="140" applyNumberFormat="1" applyFont="1" applyFill="1" applyBorder="1" applyAlignment="1">
      <alignment vertical="center"/>
      <protection locked="0"/>
    </xf>
    <xf numFmtId="0" fontId="4" fillId="0" borderId="0" xfId="0" applyFont="1" applyAlignment="1">
      <alignment/>
    </xf>
    <xf numFmtId="0" fontId="3" fillId="0" borderId="0" xfId="0" applyFont="1" applyAlignment="1">
      <alignment vertical="top"/>
    </xf>
    <xf numFmtId="169" fontId="4" fillId="53" borderId="4" xfId="0" applyNumberFormat="1" applyFont="1" applyFill="1" applyBorder="1" applyAlignment="1">
      <alignment horizontal="right" vertical="center"/>
    </xf>
    <xf numFmtId="0" fontId="4" fillId="52" borderId="0" xfId="0" applyFont="1" applyFill="1" applyBorder="1" applyAlignment="1">
      <alignment horizontal="center" vertical="center" wrapText="1"/>
    </xf>
    <xf numFmtId="0" fontId="4" fillId="52" borderId="24" xfId="0" applyFont="1" applyFill="1" applyBorder="1" applyAlignment="1">
      <alignment horizontal="center" vertical="center" wrapText="1"/>
    </xf>
    <xf numFmtId="169" fontId="16" fillId="54" borderId="24" xfId="140" applyNumberFormat="1" applyFont="1" applyFill="1" applyBorder="1" applyAlignment="1">
      <alignment vertical="center"/>
      <protection locked="0"/>
    </xf>
    <xf numFmtId="1" fontId="4" fillId="34" borderId="23" xfId="0" applyNumberFormat="1" applyFont="1" applyFill="1" applyBorder="1" applyAlignment="1" quotePrefix="1">
      <alignment horizontal="center" vertical="center"/>
    </xf>
    <xf numFmtId="1" fontId="4" fillId="34" borderId="24" xfId="0" applyNumberFormat="1" applyFont="1" applyFill="1" applyBorder="1" applyAlignment="1" quotePrefix="1">
      <alignment horizontal="center" vertical="center"/>
    </xf>
    <xf numFmtId="1" fontId="4" fillId="34" borderId="19" xfId="0" applyNumberFormat="1" applyFont="1" applyFill="1" applyBorder="1" applyAlignment="1" quotePrefix="1">
      <alignment horizontal="center" vertical="center"/>
    </xf>
    <xf numFmtId="169" fontId="4" fillId="53" borderId="24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24" fillId="0" borderId="0" xfId="0" applyFont="1" applyAlignment="1" quotePrefix="1">
      <alignment horizontal="right" vertical="top"/>
    </xf>
    <xf numFmtId="0" fontId="23" fillId="0" borderId="0" xfId="0" applyFont="1" applyBorder="1" applyAlignment="1">
      <alignment horizontal="right" vertical="top"/>
    </xf>
    <xf numFmtId="165" fontId="4" fillId="53" borderId="27" xfId="0" applyNumberFormat="1" applyFont="1" applyFill="1" applyBorder="1" applyAlignment="1">
      <alignment horizontal="right" vertical="center"/>
    </xf>
    <xf numFmtId="165" fontId="4" fillId="53" borderId="18" xfId="0" applyNumberFormat="1" applyFont="1" applyFill="1" applyBorder="1" applyAlignment="1">
      <alignment horizontal="right" vertical="center"/>
    </xf>
    <xf numFmtId="165" fontId="3" fillId="0" borderId="25" xfId="0" applyNumberFormat="1" applyFont="1" applyFill="1" applyBorder="1" applyAlignment="1">
      <alignment horizontal="right" vertical="center"/>
    </xf>
    <xf numFmtId="165" fontId="3" fillId="53" borderId="27" xfId="0" applyNumberFormat="1" applyFont="1" applyFill="1" applyBorder="1" applyAlignment="1">
      <alignment horizontal="right" vertical="center"/>
    </xf>
    <xf numFmtId="165" fontId="3" fillId="0" borderId="27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3" fillId="0" borderId="18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center"/>
    </xf>
    <xf numFmtId="0" fontId="13" fillId="52" borderId="22" xfId="0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vertical="center"/>
    </xf>
    <xf numFmtId="165" fontId="4" fillId="53" borderId="25" xfId="0" applyNumberFormat="1" applyFont="1" applyFill="1" applyBorder="1" applyAlignment="1">
      <alignment horizontal="right" vertical="center"/>
    </xf>
    <xf numFmtId="0" fontId="10" fillId="52" borderId="18" xfId="0" applyFont="1" applyFill="1" applyBorder="1" applyAlignment="1">
      <alignment horizontal="center" vertical="center"/>
    </xf>
    <xf numFmtId="0" fontId="10" fillId="52" borderId="1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textRotation="90"/>
    </xf>
    <xf numFmtId="168" fontId="4" fillId="53" borderId="24" xfId="0" applyNumberFormat="1" applyFont="1" applyFill="1" applyBorder="1" applyAlignment="1">
      <alignment horizontal="right"/>
    </xf>
    <xf numFmtId="168" fontId="4" fillId="53" borderId="19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0" fontId="4" fillId="55" borderId="15" xfId="0" applyFont="1" applyFill="1" applyBorder="1" applyAlignment="1">
      <alignment horizontal="center"/>
    </xf>
    <xf numFmtId="0" fontId="4" fillId="54" borderId="4" xfId="0" applyFont="1" applyFill="1" applyBorder="1" applyAlignment="1">
      <alignment horizontal="center"/>
    </xf>
    <xf numFmtId="0" fontId="4" fillId="55" borderId="4" xfId="0" applyFont="1" applyFill="1" applyBorder="1" applyAlignment="1">
      <alignment horizontal="center"/>
    </xf>
    <xf numFmtId="0" fontId="4" fillId="54" borderId="16" xfId="0" applyFont="1" applyFill="1" applyBorder="1" applyAlignment="1">
      <alignment horizontal="center"/>
    </xf>
    <xf numFmtId="168" fontId="3" fillId="55" borderId="23" xfId="0" applyNumberFormat="1" applyFont="1" applyFill="1" applyBorder="1" applyAlignment="1">
      <alignment horizontal="right"/>
    </xf>
    <xf numFmtId="168" fontId="3" fillId="54" borderId="24" xfId="0" applyNumberFormat="1" applyFont="1" applyFill="1" applyBorder="1" applyAlignment="1">
      <alignment horizontal="right"/>
    </xf>
    <xf numFmtId="168" fontId="3" fillId="55" borderId="24" xfId="0" applyNumberFormat="1" applyFont="1" applyFill="1" applyBorder="1" applyAlignment="1">
      <alignment horizontal="right"/>
    </xf>
    <xf numFmtId="168" fontId="3" fillId="54" borderId="19" xfId="0" applyNumberFormat="1" applyFont="1" applyFill="1" applyBorder="1" applyAlignment="1">
      <alignment horizontal="right"/>
    </xf>
    <xf numFmtId="169" fontId="3" fillId="55" borderId="26" xfId="0" applyNumberFormat="1" applyFont="1" applyFill="1" applyBorder="1" applyAlignment="1">
      <alignment horizontal="right"/>
    </xf>
    <xf numFmtId="169" fontId="3" fillId="54" borderId="0" xfId="0" applyNumberFormat="1" applyFont="1" applyFill="1" applyBorder="1" applyAlignment="1">
      <alignment horizontal="right"/>
    </xf>
    <xf numFmtId="169" fontId="3" fillId="55" borderId="0" xfId="0" applyNumberFormat="1" applyFont="1" applyFill="1" applyBorder="1" applyAlignment="1">
      <alignment horizontal="right"/>
    </xf>
    <xf numFmtId="169" fontId="3" fillId="55" borderId="23" xfId="0" applyNumberFormat="1" applyFont="1" applyFill="1" applyBorder="1" applyAlignment="1">
      <alignment horizontal="right"/>
    </xf>
    <xf numFmtId="169" fontId="3" fillId="54" borderId="24" xfId="0" applyNumberFormat="1" applyFont="1" applyFill="1" applyBorder="1" applyAlignment="1">
      <alignment horizontal="right"/>
    </xf>
    <xf numFmtId="169" fontId="3" fillId="55" borderId="24" xfId="0" applyNumberFormat="1" applyFont="1" applyFill="1" applyBorder="1" applyAlignment="1">
      <alignment horizontal="right"/>
    </xf>
    <xf numFmtId="169" fontId="3" fillId="54" borderId="19" xfId="0" applyNumberFormat="1" applyFont="1" applyFill="1" applyBorder="1" applyAlignment="1">
      <alignment horizontal="right"/>
    </xf>
    <xf numFmtId="0" fontId="25" fillId="0" borderId="0" xfId="0" applyFont="1" applyFill="1" applyAlignment="1">
      <alignment/>
    </xf>
    <xf numFmtId="0" fontId="3" fillId="52" borderId="27" xfId="0" applyFont="1" applyFill="1" applyBorder="1" applyAlignment="1">
      <alignment horizontal="left" vertical="center"/>
    </xf>
    <xf numFmtId="0" fontId="4" fillId="52" borderId="27" xfId="0" applyFont="1" applyFill="1" applyBorder="1" applyAlignment="1">
      <alignment horizontal="center" vertical="center"/>
    </xf>
    <xf numFmtId="0" fontId="4" fillId="52" borderId="0" xfId="0" applyFont="1" applyFill="1" applyBorder="1" applyAlignment="1">
      <alignment horizontal="center" vertical="center"/>
    </xf>
    <xf numFmtId="0" fontId="4" fillId="52" borderId="24" xfId="0" applyFont="1" applyFill="1" applyBorder="1" applyAlignment="1">
      <alignment horizontal="center" vertical="center"/>
    </xf>
    <xf numFmtId="0" fontId="4" fillId="52" borderId="16" xfId="0" applyFont="1" applyFill="1" applyBorder="1" applyAlignment="1">
      <alignment horizontal="center" vertical="top" wrapText="1"/>
    </xf>
    <xf numFmtId="0" fontId="4" fillId="53" borderId="15" xfId="0" applyFont="1" applyFill="1" applyBorder="1" applyAlignment="1">
      <alignment horizontal="left" vertical="center"/>
    </xf>
    <xf numFmtId="168" fontId="3" fillId="0" borderId="25" xfId="0" applyNumberFormat="1" applyFont="1" applyFill="1" applyBorder="1" applyAlignment="1">
      <alignment horizontal="right" vertical="center"/>
    </xf>
    <xf numFmtId="168" fontId="3" fillId="0" borderId="26" xfId="0" applyNumberFormat="1" applyFont="1" applyBorder="1" applyAlignment="1">
      <alignment vertical="center"/>
    </xf>
    <xf numFmtId="168" fontId="3" fillId="0" borderId="23" xfId="0" applyNumberFormat="1" applyFont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168" fontId="3" fillId="53" borderId="27" xfId="0" applyNumberFormat="1" applyFont="1" applyFill="1" applyBorder="1" applyAlignment="1">
      <alignment horizontal="right" vertical="center"/>
    </xf>
    <xf numFmtId="168" fontId="3" fillId="53" borderId="0" xfId="0" applyNumberFormat="1" applyFont="1" applyFill="1" applyBorder="1" applyAlignment="1">
      <alignment vertical="center"/>
    </xf>
    <xf numFmtId="168" fontId="3" fillId="53" borderId="24" xfId="0" applyNumberFormat="1" applyFont="1" applyFill="1" applyBorder="1" applyAlignment="1">
      <alignment vertical="center"/>
    </xf>
    <xf numFmtId="0" fontId="4" fillId="53" borderId="4" xfId="0" applyFont="1" applyFill="1" applyBorder="1" applyAlignment="1">
      <alignment horizontal="left" vertical="center"/>
    </xf>
    <xf numFmtId="168" fontId="3" fillId="0" borderId="27" xfId="0" applyNumberFormat="1" applyFont="1" applyFill="1" applyBorder="1" applyAlignment="1">
      <alignment horizontal="right" vertical="center"/>
    </xf>
    <xf numFmtId="168" fontId="3" fillId="0" borderId="0" xfId="0" applyNumberFormat="1" applyFont="1" applyBorder="1" applyAlignment="1">
      <alignment vertical="center"/>
    </xf>
    <xf numFmtId="168" fontId="3" fillId="0" borderId="0" xfId="0" applyNumberFormat="1" applyFont="1" applyFill="1" applyBorder="1" applyAlignment="1">
      <alignment vertical="center"/>
    </xf>
    <xf numFmtId="168" fontId="3" fillId="0" borderId="24" xfId="0" applyNumberFormat="1" applyFont="1" applyBorder="1" applyAlignment="1">
      <alignment vertical="center"/>
    </xf>
    <xf numFmtId="168" fontId="3" fillId="0" borderId="27" xfId="0" applyNumberFormat="1" applyFont="1" applyBorder="1" applyAlignment="1">
      <alignment vertical="center"/>
    </xf>
    <xf numFmtId="0" fontId="4" fillId="53" borderId="6" xfId="0" applyFont="1" applyFill="1" applyBorder="1" applyAlignment="1">
      <alignment horizontal="center" vertical="center" wrapText="1"/>
    </xf>
    <xf numFmtId="165" fontId="4" fillId="53" borderId="22" xfId="0" applyNumberFormat="1" applyFont="1" applyFill="1" applyBorder="1" applyAlignment="1">
      <alignment horizontal="right" vertical="center"/>
    </xf>
    <xf numFmtId="0" fontId="4" fillId="52" borderId="15" xfId="0" applyFont="1" applyFill="1" applyBorder="1" applyAlignment="1">
      <alignment horizontal="center" vertical="center" wrapText="1"/>
    </xf>
    <xf numFmtId="169" fontId="3" fillId="0" borderId="25" xfId="0" applyNumberFormat="1" applyFont="1" applyFill="1" applyBorder="1" applyAlignment="1">
      <alignment horizontal="center" vertical="center"/>
    </xf>
    <xf numFmtId="169" fontId="3" fillId="0" borderId="26" xfId="0" applyNumberFormat="1" applyFont="1" applyFill="1" applyBorder="1" applyAlignment="1">
      <alignment horizontal="center" vertical="center"/>
    </xf>
    <xf numFmtId="169" fontId="3" fillId="0" borderId="26" xfId="0" applyNumberFormat="1" applyFont="1" applyFill="1" applyBorder="1" applyAlignment="1">
      <alignment horizontal="right" vertical="center"/>
    </xf>
    <xf numFmtId="169" fontId="3" fillId="0" borderId="23" xfId="0" applyNumberFormat="1" applyFont="1" applyFill="1" applyBorder="1" applyAlignment="1">
      <alignment horizontal="center" vertical="center"/>
    </xf>
    <xf numFmtId="169" fontId="3" fillId="0" borderId="28" xfId="0" applyNumberFormat="1" applyFont="1" applyFill="1" applyBorder="1" applyAlignment="1">
      <alignment horizontal="center" vertical="center"/>
    </xf>
    <xf numFmtId="169" fontId="3" fillId="0" borderId="29" xfId="0" applyNumberFormat="1" applyFont="1" applyFill="1" applyBorder="1" applyAlignment="1">
      <alignment horizontal="center" vertical="center"/>
    </xf>
    <xf numFmtId="169" fontId="3" fillId="0" borderId="29" xfId="0" applyNumberFormat="1" applyFont="1" applyFill="1" applyBorder="1" applyAlignment="1">
      <alignment horizontal="right" vertical="center"/>
    </xf>
    <xf numFmtId="169" fontId="3" fillId="0" borderId="30" xfId="0" applyNumberFormat="1" applyFont="1" applyFill="1" applyBorder="1" applyAlignment="1">
      <alignment horizontal="center" vertical="center"/>
    </xf>
    <xf numFmtId="169" fontId="3" fillId="0" borderId="27" xfId="0" applyNumberFormat="1" applyFont="1" applyFill="1" applyBorder="1" applyAlignment="1">
      <alignment horizontal="center" vertical="center"/>
    </xf>
    <xf numFmtId="169" fontId="3" fillId="0" borderId="0" xfId="0" applyNumberFormat="1" applyFont="1" applyFill="1" applyBorder="1" applyAlignment="1">
      <alignment horizontal="center" vertical="center"/>
    </xf>
    <xf numFmtId="169" fontId="3" fillId="0" borderId="31" xfId="0" applyNumberFormat="1" applyFont="1" applyFill="1" applyBorder="1" applyAlignment="1">
      <alignment horizontal="center" vertical="center"/>
    </xf>
    <xf numFmtId="169" fontId="3" fillId="0" borderId="31" xfId="0" applyNumberFormat="1" applyFont="1" applyFill="1" applyBorder="1" applyAlignment="1">
      <alignment horizontal="right" vertical="center"/>
    </xf>
    <xf numFmtId="169" fontId="3" fillId="0" borderId="32" xfId="0" applyNumberFormat="1" applyFont="1" applyFill="1" applyBorder="1" applyAlignment="1">
      <alignment horizontal="center" vertical="center"/>
    </xf>
    <xf numFmtId="169" fontId="3" fillId="0" borderId="18" xfId="0" applyNumberFormat="1" applyFont="1" applyFill="1" applyBorder="1" applyAlignment="1">
      <alignment horizontal="center" vertical="center"/>
    </xf>
    <xf numFmtId="169" fontId="3" fillId="0" borderId="17" xfId="0" applyNumberFormat="1" applyFont="1" applyFill="1" applyBorder="1" applyAlignment="1">
      <alignment horizontal="center" vertical="center"/>
    </xf>
    <xf numFmtId="169" fontId="3" fillId="0" borderId="17" xfId="0" applyNumberFormat="1" applyFont="1" applyFill="1" applyBorder="1" applyAlignment="1">
      <alignment horizontal="right" vertical="center"/>
    </xf>
    <xf numFmtId="169" fontId="3" fillId="0" borderId="19" xfId="0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/>
    </xf>
    <xf numFmtId="0" fontId="3" fillId="52" borderId="15" xfId="0" applyFont="1" applyFill="1" applyBorder="1" applyAlignment="1">
      <alignment horizontal="left" vertical="top" wrapText="1"/>
    </xf>
    <xf numFmtId="0" fontId="4" fillId="52" borderId="19" xfId="0" applyFont="1" applyFill="1" applyBorder="1" applyAlignment="1">
      <alignment horizontal="center" vertical="top" wrapText="1"/>
    </xf>
    <xf numFmtId="0" fontId="4" fillId="53" borderId="6" xfId="0" applyFont="1" applyFill="1" applyBorder="1" applyAlignment="1">
      <alignment horizontal="left" vertical="center" wrapText="1"/>
    </xf>
    <xf numFmtId="3" fontId="4" fillId="53" borderId="13" xfId="0" applyNumberFormat="1" applyFont="1" applyFill="1" applyBorder="1" applyAlignment="1">
      <alignment horizontal="right" vertical="center"/>
    </xf>
    <xf numFmtId="9" fontId="3" fillId="53" borderId="22" xfId="0" applyNumberFormat="1" applyFont="1" applyFill="1" applyBorder="1" applyAlignment="1">
      <alignment horizontal="right" vertical="center" wrapText="1"/>
    </xf>
    <xf numFmtId="0" fontId="4" fillId="53" borderId="4" xfId="0" applyFont="1" applyFill="1" applyBorder="1" applyAlignment="1">
      <alignment horizontal="left" vertical="center" wrapText="1"/>
    </xf>
    <xf numFmtId="9" fontId="3" fillId="53" borderId="23" xfId="0" applyNumberFormat="1" applyFont="1" applyFill="1" applyBorder="1" applyAlignment="1">
      <alignment horizontal="right" vertical="center" wrapText="1"/>
    </xf>
    <xf numFmtId="9" fontId="3" fillId="53" borderId="24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left" vertical="center" wrapText="1"/>
    </xf>
    <xf numFmtId="9" fontId="3" fillId="0" borderId="24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  <xf numFmtId="9" fontId="3" fillId="0" borderId="24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 wrapText="1"/>
    </xf>
    <xf numFmtId="0" fontId="4" fillId="53" borderId="15" xfId="0" applyFont="1" applyFill="1" applyBorder="1" applyAlignment="1">
      <alignment horizontal="left" vertical="center" wrapText="1"/>
    </xf>
    <xf numFmtId="3" fontId="3" fillId="53" borderId="26" xfId="0" applyNumberFormat="1" applyFont="1" applyFill="1" applyBorder="1" applyAlignment="1">
      <alignment horizontal="right" vertical="center"/>
    </xf>
    <xf numFmtId="0" fontId="3" fillId="53" borderId="26" xfId="0" applyFont="1" applyFill="1" applyBorder="1" applyAlignment="1">
      <alignment horizontal="right" vertical="center"/>
    </xf>
    <xf numFmtId="9" fontId="3" fillId="53" borderId="23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right" vertical="center"/>
    </xf>
    <xf numFmtId="9" fontId="3" fillId="0" borderId="19" xfId="0" applyNumberFormat="1" applyFont="1" applyFill="1" applyBorder="1" applyAlignment="1">
      <alignment horizontal="right" vertical="center"/>
    </xf>
    <xf numFmtId="3" fontId="3" fillId="53" borderId="13" xfId="0" applyNumberFormat="1" applyFont="1" applyFill="1" applyBorder="1" applyAlignment="1">
      <alignment horizontal="right" vertical="center"/>
    </xf>
    <xf numFmtId="9" fontId="3" fillId="53" borderId="22" xfId="0" applyNumberFormat="1" applyFont="1" applyFill="1" applyBorder="1" applyAlignment="1">
      <alignment horizontal="right" vertical="center"/>
    </xf>
    <xf numFmtId="9" fontId="3" fillId="53" borderId="24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 wrapText="1"/>
    </xf>
    <xf numFmtId="9" fontId="9" fillId="0" borderId="24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 wrapText="1"/>
    </xf>
    <xf numFmtId="9" fontId="3" fillId="0" borderId="19" xfId="0" applyNumberFormat="1" applyFont="1" applyFill="1" applyBorder="1" applyAlignment="1">
      <alignment horizontal="right" vertical="center" wrapText="1"/>
    </xf>
    <xf numFmtId="0" fontId="3" fillId="0" borderId="26" xfId="0" applyFont="1" applyFill="1" applyBorder="1" applyAlignment="1">
      <alignment horizontal="left" vertical="center" wrapText="1"/>
    </xf>
    <xf numFmtId="3" fontId="3" fillId="0" borderId="26" xfId="0" applyNumberFormat="1" applyFont="1" applyFill="1" applyBorder="1" applyAlignment="1">
      <alignment horizontal="right" vertical="center"/>
    </xf>
    <xf numFmtId="9" fontId="3" fillId="0" borderId="26" xfId="0" applyNumberFormat="1" applyFont="1" applyFill="1" applyBorder="1" applyAlignment="1">
      <alignment horizontal="right" vertical="center" wrapText="1"/>
    </xf>
    <xf numFmtId="0" fontId="3" fillId="0" borderId="26" xfId="0" applyFont="1" applyFill="1" applyBorder="1" applyAlignment="1">
      <alignment horizontal="right" vertical="center"/>
    </xf>
    <xf numFmtId="9" fontId="3" fillId="0" borderId="26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33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righ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0" fontId="5" fillId="0" borderId="0" xfId="0" applyFont="1" applyFill="1" applyBorder="1" applyAlignment="1" quotePrefix="1">
      <alignment horizontal="right" vertical="top"/>
    </xf>
    <xf numFmtId="0" fontId="4" fillId="52" borderId="35" xfId="0" applyFont="1" applyFill="1" applyBorder="1" applyAlignment="1">
      <alignment horizontal="center" vertical="center" wrapText="1"/>
    </xf>
    <xf numFmtId="0" fontId="4" fillId="52" borderId="36" xfId="0" applyFont="1" applyFill="1" applyBorder="1" applyAlignment="1">
      <alignment horizontal="center" vertical="center" wrapText="1"/>
    </xf>
    <xf numFmtId="0" fontId="4" fillId="52" borderId="37" xfId="0" applyFont="1" applyFill="1" applyBorder="1" applyAlignment="1">
      <alignment horizontal="center" vertical="center" wrapText="1"/>
    </xf>
    <xf numFmtId="174" fontId="4" fillId="53" borderId="23" xfId="0" applyNumberFormat="1" applyFont="1" applyFill="1" applyBorder="1" applyAlignment="1">
      <alignment horizontal="right" vertical="center"/>
    </xf>
    <xf numFmtId="174" fontId="4" fillId="53" borderId="23" xfId="0" applyNumberFormat="1" applyFont="1" applyFill="1" applyBorder="1" applyAlignment="1">
      <alignment horizontal="center" vertical="center"/>
    </xf>
    <xf numFmtId="174" fontId="4" fillId="53" borderId="24" xfId="0" applyNumberFormat="1" applyFont="1" applyFill="1" applyBorder="1" applyAlignment="1">
      <alignment horizontal="right" vertical="center"/>
    </xf>
    <xf numFmtId="174" fontId="4" fillId="53" borderId="24" xfId="0" applyNumberFormat="1" applyFont="1" applyFill="1" applyBorder="1" applyAlignment="1">
      <alignment horizontal="center" vertical="center"/>
    </xf>
    <xf numFmtId="174" fontId="4" fillId="53" borderId="19" xfId="0" applyNumberFormat="1" applyFont="1" applyFill="1" applyBorder="1" applyAlignment="1">
      <alignment horizontal="center" vertical="center"/>
    </xf>
    <xf numFmtId="174" fontId="3" fillId="0" borderId="23" xfId="0" applyNumberFormat="1" applyFont="1" applyFill="1" applyBorder="1" applyAlignment="1">
      <alignment horizontal="right" vertical="center"/>
    </xf>
    <xf numFmtId="174" fontId="3" fillId="0" borderId="23" xfId="0" applyNumberFormat="1" applyFont="1" applyFill="1" applyBorder="1" applyAlignment="1">
      <alignment horizontal="center" vertical="center"/>
    </xf>
    <xf numFmtId="174" fontId="3" fillId="53" borderId="24" xfId="0" applyNumberFormat="1" applyFont="1" applyFill="1" applyBorder="1" applyAlignment="1">
      <alignment horizontal="center" vertical="center"/>
    </xf>
    <xf numFmtId="174" fontId="3" fillId="0" borderId="2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/>
    </xf>
    <xf numFmtId="0" fontId="4" fillId="52" borderId="15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top"/>
    </xf>
    <xf numFmtId="166" fontId="4" fillId="53" borderId="15" xfId="0" applyNumberFormat="1" applyFont="1" applyFill="1" applyBorder="1" applyAlignment="1">
      <alignment horizontal="center" vertical="center"/>
    </xf>
    <xf numFmtId="166" fontId="4" fillId="53" borderId="4" xfId="0" applyNumberFormat="1" applyFont="1" applyFill="1" applyBorder="1" applyAlignment="1">
      <alignment horizontal="center" vertical="center"/>
    </xf>
    <xf numFmtId="166" fontId="4" fillId="53" borderId="16" xfId="0" applyNumberFormat="1" applyFont="1" applyFill="1" applyBorder="1" applyAlignment="1">
      <alignment horizontal="center" vertical="center"/>
    </xf>
    <xf numFmtId="166" fontId="4" fillId="0" borderId="4" xfId="0" applyNumberFormat="1" applyFont="1" applyFill="1" applyBorder="1" applyAlignment="1">
      <alignment horizontal="center" vertical="center"/>
    </xf>
    <xf numFmtId="166" fontId="3" fillId="54" borderId="38" xfId="0" applyNumberFormat="1" applyFont="1" applyFill="1" applyBorder="1" applyAlignment="1">
      <alignment horizontal="right" vertical="center"/>
    </xf>
    <xf numFmtId="166" fontId="3" fillId="0" borderId="38" xfId="0" applyNumberFormat="1" applyFont="1" applyFill="1" applyBorder="1" applyAlignment="1">
      <alignment horizontal="right" vertical="center"/>
    </xf>
    <xf numFmtId="166" fontId="4" fillId="0" borderId="16" xfId="0" applyNumberFormat="1" applyFont="1" applyFill="1" applyBorder="1" applyAlignment="1">
      <alignment horizontal="center" vertical="center"/>
    </xf>
    <xf numFmtId="166" fontId="3" fillId="54" borderId="17" xfId="0" applyNumberFormat="1" applyFont="1" applyFill="1" applyBorder="1" applyAlignment="1">
      <alignment horizontal="right" vertical="center"/>
    </xf>
    <xf numFmtId="166" fontId="3" fillId="0" borderId="23" xfId="0" applyNumberFormat="1" applyFont="1" applyFill="1" applyBorder="1" applyAlignment="1">
      <alignment horizontal="right" vertical="center"/>
    </xf>
    <xf numFmtId="166" fontId="23" fillId="0" borderId="24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top" wrapText="1"/>
    </xf>
    <xf numFmtId="1" fontId="4" fillId="52" borderId="2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vertical="top"/>
    </xf>
    <xf numFmtId="9" fontId="5" fillId="0" borderId="0" xfId="0" applyNumberFormat="1" applyFont="1" applyBorder="1" applyAlignment="1" quotePrefix="1">
      <alignment horizontal="righ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/>
    </xf>
    <xf numFmtId="0" fontId="4" fillId="52" borderId="0" xfId="0" applyFont="1" applyFill="1" applyBorder="1" applyAlignment="1">
      <alignment horizontal="center" vertical="top"/>
    </xf>
    <xf numFmtId="0" fontId="4" fillId="52" borderId="19" xfId="0" applyFont="1" applyFill="1" applyBorder="1" applyAlignment="1">
      <alignment horizontal="center" vertical="top"/>
    </xf>
    <xf numFmtId="0" fontId="4" fillId="52" borderId="17" xfId="0" applyFont="1" applyFill="1" applyBorder="1" applyAlignment="1">
      <alignment horizontal="center" vertical="top"/>
    </xf>
    <xf numFmtId="175" fontId="3" fillId="0" borderId="39" xfId="0" applyNumberFormat="1" applyFont="1" applyFill="1" applyBorder="1" applyAlignment="1">
      <alignment horizontal="right" vertical="center"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0" fontId="27" fillId="0" borderId="0" xfId="90">
      <alignment/>
      <protection/>
    </xf>
    <xf numFmtId="0" fontId="0" fillId="0" borderId="0" xfId="90" applyNumberFormat="1" applyFont="1" applyFill="1" applyBorder="1" applyAlignment="1">
      <alignment/>
      <protection/>
    </xf>
    <xf numFmtId="176" fontId="0" fillId="0" borderId="0" xfId="90" applyNumberFormat="1" applyFont="1" applyFill="1" applyBorder="1" applyAlignment="1">
      <alignment/>
      <protection/>
    </xf>
    <xf numFmtId="0" fontId="27" fillId="0" borderId="0" xfId="90">
      <alignment/>
      <protection/>
    </xf>
    <xf numFmtId="0" fontId="0" fillId="0" borderId="0" xfId="90" applyNumberFormat="1" applyFont="1" applyFill="1" applyBorder="1" applyAlignment="1">
      <alignment/>
      <protection/>
    </xf>
    <xf numFmtId="176" fontId="0" fillId="0" borderId="0" xfId="90" applyNumberFormat="1" applyFont="1" applyFill="1" applyBorder="1" applyAlignment="1">
      <alignment/>
      <protection/>
    </xf>
    <xf numFmtId="0" fontId="5" fillId="0" borderId="0" xfId="0" applyFont="1" applyAlignment="1" quotePrefix="1">
      <alignment horizontal="right" vertical="top"/>
    </xf>
    <xf numFmtId="0" fontId="5" fillId="0" borderId="0" xfId="0" applyFont="1" applyAlignment="1" quotePrefix="1">
      <alignment horizontal="right" vertical="top"/>
    </xf>
    <xf numFmtId="166" fontId="3" fillId="54" borderId="39" xfId="0" applyNumberFormat="1" applyFont="1" applyFill="1" applyBorder="1" applyAlignment="1">
      <alignment horizontal="right" vertical="center"/>
    </xf>
    <xf numFmtId="166" fontId="3" fillId="53" borderId="24" xfId="0" applyNumberFormat="1" applyFont="1" applyFill="1" applyBorder="1" applyAlignment="1">
      <alignment horizontal="right" vertical="center"/>
    </xf>
    <xf numFmtId="0" fontId="4" fillId="52" borderId="0" xfId="0" applyFont="1" applyFill="1" applyBorder="1" applyAlignment="1">
      <alignment horizontal="center" vertical="center" wrapText="1"/>
    </xf>
    <xf numFmtId="169" fontId="3" fillId="55" borderId="27" xfId="0" applyNumberFormat="1" applyFont="1" applyFill="1" applyBorder="1" applyAlignment="1">
      <alignment horizontal="right"/>
    </xf>
    <xf numFmtId="169" fontId="4" fillId="53" borderId="25" xfId="0" applyNumberFormat="1" applyFont="1" applyFill="1" applyBorder="1" applyAlignment="1">
      <alignment horizontal="right"/>
    </xf>
    <xf numFmtId="169" fontId="4" fillId="53" borderId="23" xfId="0" applyNumberFormat="1" applyFont="1" applyFill="1" applyBorder="1" applyAlignment="1">
      <alignment horizontal="right"/>
    </xf>
    <xf numFmtId="169" fontId="4" fillId="53" borderId="27" xfId="0" applyNumberFormat="1" applyFont="1" applyFill="1" applyBorder="1" applyAlignment="1">
      <alignment horizontal="right"/>
    </xf>
    <xf numFmtId="169" fontId="4" fillId="53" borderId="24" xfId="0" applyNumberFormat="1" applyFont="1" applyFill="1" applyBorder="1" applyAlignment="1">
      <alignment horizontal="right"/>
    </xf>
    <xf numFmtId="169" fontId="4" fillId="53" borderId="17" xfId="0" applyNumberFormat="1" applyFont="1" applyFill="1" applyBorder="1" applyAlignment="1">
      <alignment horizontal="right"/>
    </xf>
    <xf numFmtId="1" fontId="4" fillId="34" borderId="16" xfId="0" applyNumberFormat="1" applyFont="1" applyFill="1" applyBorder="1" applyAlignment="1" quotePrefix="1">
      <alignment horizontal="center" vertical="center"/>
    </xf>
    <xf numFmtId="0" fontId="0" fillId="0" borderId="0" xfId="0" applyAlignment="1">
      <alignment vertical="top"/>
    </xf>
    <xf numFmtId="174" fontId="3" fillId="0" borderId="0" xfId="0" applyNumberFormat="1" applyFont="1" applyBorder="1" applyAlignment="1">
      <alignment/>
    </xf>
    <xf numFmtId="166" fontId="9" fillId="0" borderId="4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/>
    </xf>
    <xf numFmtId="166" fontId="3" fillId="0" borderId="4" xfId="0" applyNumberFormat="1" applyFont="1" applyFill="1" applyBorder="1" applyAlignment="1">
      <alignment horizontal="right" vertical="center" wrapText="1"/>
    </xf>
    <xf numFmtId="166" fontId="9" fillId="0" borderId="0" xfId="0" applyNumberFormat="1" applyFont="1" applyFill="1" applyBorder="1" applyAlignment="1">
      <alignment horizontal="right" vertical="center"/>
    </xf>
    <xf numFmtId="166" fontId="10" fillId="54" borderId="17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 vertical="center" wrapText="1"/>
    </xf>
    <xf numFmtId="166" fontId="4" fillId="54" borderId="4" xfId="0" applyNumberFormat="1" applyFont="1" applyFill="1" applyBorder="1" applyAlignment="1">
      <alignment horizontal="center" vertical="center"/>
    </xf>
    <xf numFmtId="166" fontId="9" fillId="54" borderId="38" xfId="0" applyNumberFormat="1" applyFont="1" applyFill="1" applyBorder="1" applyAlignment="1">
      <alignment horizontal="right" vertical="center"/>
    </xf>
    <xf numFmtId="166" fontId="9" fillId="54" borderId="17" xfId="0" applyNumberFormat="1" applyFont="1" applyFill="1" applyBorder="1" applyAlignment="1">
      <alignment horizontal="right" vertical="center"/>
    </xf>
    <xf numFmtId="166" fontId="9" fillId="54" borderId="40" xfId="0" applyNumberFormat="1" applyFont="1" applyFill="1" applyBorder="1" applyAlignment="1">
      <alignment horizontal="right" vertical="center"/>
    </xf>
    <xf numFmtId="166" fontId="4" fillId="54" borderId="16" xfId="0" applyNumberFormat="1" applyFont="1" applyFill="1" applyBorder="1" applyAlignment="1">
      <alignment horizontal="center" vertical="center"/>
    </xf>
    <xf numFmtId="0" fontId="27" fillId="0" borderId="0" xfId="90">
      <alignment/>
      <protection/>
    </xf>
    <xf numFmtId="0" fontId="0" fillId="0" borderId="0" xfId="90" applyNumberFormat="1" applyFont="1" applyFill="1" applyBorder="1" applyAlignment="1">
      <alignment/>
      <protection/>
    </xf>
    <xf numFmtId="3" fontId="3" fillId="0" borderId="0" xfId="0" applyNumberFormat="1" applyFont="1" applyBorder="1" applyAlignment="1">
      <alignment/>
    </xf>
    <xf numFmtId="0" fontId="4" fillId="54" borderId="24" xfId="0" applyFont="1" applyFill="1" applyBorder="1" applyAlignment="1">
      <alignment horizontal="center" vertical="center"/>
    </xf>
    <xf numFmtId="0" fontId="4" fillId="54" borderId="19" xfId="0" applyFont="1" applyFill="1" applyBorder="1" applyAlignment="1">
      <alignment horizontal="center" vertical="center"/>
    </xf>
    <xf numFmtId="0" fontId="4" fillId="52" borderId="0" xfId="0" applyFont="1" applyFill="1" applyBorder="1" applyAlignment="1">
      <alignment horizontal="center" vertical="center" wrapText="1"/>
    </xf>
    <xf numFmtId="0" fontId="5" fillId="0" borderId="0" xfId="0" applyFont="1" applyAlignment="1" quotePrefix="1">
      <alignment horizontal="right" vertical="top"/>
    </xf>
    <xf numFmtId="0" fontId="4" fillId="54" borderId="4" xfId="0" applyFont="1" applyFill="1" applyBorder="1" applyAlignment="1">
      <alignment horizontal="center" vertical="center"/>
    </xf>
    <xf numFmtId="166" fontId="3" fillId="54" borderId="27" xfId="0" applyNumberFormat="1" applyFont="1" applyFill="1" applyBorder="1" applyAlignment="1">
      <alignment horizontal="right" vertical="center"/>
    </xf>
    <xf numFmtId="0" fontId="4" fillId="54" borderId="24" xfId="0" applyFont="1" applyFill="1" applyBorder="1" applyAlignment="1">
      <alignment horizontal="center" vertical="center"/>
    </xf>
    <xf numFmtId="0" fontId="4" fillId="54" borderId="16" xfId="0" applyFont="1" applyFill="1" applyBorder="1" applyAlignment="1">
      <alignment horizontal="center" vertical="center"/>
    </xf>
    <xf numFmtId="166" fontId="3" fillId="54" borderId="18" xfId="0" applyNumberFormat="1" applyFont="1" applyFill="1" applyBorder="1" applyAlignment="1">
      <alignment horizontal="right" vertical="center"/>
    </xf>
    <xf numFmtId="0" fontId="4" fillId="54" borderId="19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52" borderId="0" xfId="0" applyFont="1" applyFill="1" applyBorder="1" applyAlignment="1">
      <alignment horizontal="center" vertical="center" wrapText="1"/>
    </xf>
    <xf numFmtId="169" fontId="16" fillId="0" borderId="4" xfId="140" applyNumberFormat="1" applyFont="1" applyFill="1" applyBorder="1" applyAlignment="1">
      <alignment vertical="center"/>
      <protection locked="0"/>
    </xf>
    <xf numFmtId="169" fontId="16" fillId="54" borderId="19" xfId="140" applyNumberFormat="1" applyFont="1" applyFill="1" applyBorder="1" applyAlignment="1">
      <alignment vertical="center"/>
      <protection locked="0"/>
    </xf>
    <xf numFmtId="165" fontId="3" fillId="54" borderId="27" xfId="0" applyNumberFormat="1" applyFont="1" applyFill="1" applyBorder="1" applyAlignment="1">
      <alignment horizontal="right" vertical="center"/>
    </xf>
    <xf numFmtId="165" fontId="3" fillId="54" borderId="18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49" fontId="3" fillId="54" borderId="24" xfId="0" applyNumberFormat="1" applyFont="1" applyFill="1" applyBorder="1" applyAlignment="1">
      <alignment horizontal="right"/>
    </xf>
    <xf numFmtId="169" fontId="3" fillId="54" borderId="27" xfId="0" applyNumberFormat="1" applyFont="1" applyFill="1" applyBorder="1" applyAlignment="1">
      <alignment horizontal="right"/>
    </xf>
    <xf numFmtId="169" fontId="3" fillId="54" borderId="17" xfId="0" applyNumberFormat="1" applyFont="1" applyFill="1" applyBorder="1" applyAlignment="1">
      <alignment horizontal="right"/>
    </xf>
    <xf numFmtId="0" fontId="3" fillId="54" borderId="0" xfId="0" applyFont="1" applyFill="1" applyAlignment="1">
      <alignment/>
    </xf>
    <xf numFmtId="0" fontId="4" fillId="0" borderId="4" xfId="0" applyFont="1" applyFill="1" applyBorder="1" applyAlignment="1">
      <alignment horizontal="center"/>
    </xf>
    <xf numFmtId="168" fontId="3" fillId="0" borderId="24" xfId="0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right"/>
    </xf>
    <xf numFmtId="169" fontId="3" fillId="0" borderId="24" xfId="0" applyNumberFormat="1" applyFont="1" applyFill="1" applyBorder="1" applyAlignment="1">
      <alignment horizontal="right"/>
    </xf>
    <xf numFmtId="168" fontId="3" fillId="53" borderId="39" xfId="0" applyNumberFormat="1" applyFont="1" applyFill="1" applyBorder="1" applyAlignment="1">
      <alignment vertical="center"/>
    </xf>
    <xf numFmtId="169" fontId="3" fillId="0" borderId="41" xfId="0" applyNumberFormat="1" applyFont="1" applyFill="1" applyBorder="1" applyAlignment="1">
      <alignment horizontal="right" vertical="center"/>
    </xf>
    <xf numFmtId="169" fontId="3" fillId="0" borderId="42" xfId="0" applyNumberFormat="1" applyFont="1" applyFill="1" applyBorder="1" applyAlignment="1">
      <alignment horizontal="right" vertical="center"/>
    </xf>
    <xf numFmtId="174" fontId="3" fillId="54" borderId="24" xfId="0" applyNumberFormat="1" applyFont="1" applyFill="1" applyBorder="1" applyAlignment="1">
      <alignment horizontal="right" vertical="center"/>
    </xf>
    <xf numFmtId="174" fontId="3" fillId="54" borderId="24" xfId="0" applyNumberFormat="1" applyFont="1" applyFill="1" applyBorder="1" applyAlignment="1">
      <alignment horizontal="center" vertical="center"/>
    </xf>
    <xf numFmtId="174" fontId="3" fillId="54" borderId="19" xfId="0" applyNumberFormat="1" applyFont="1" applyFill="1" applyBorder="1" applyAlignment="1">
      <alignment horizontal="right" vertical="center"/>
    </xf>
    <xf numFmtId="174" fontId="3" fillId="54" borderId="19" xfId="0" applyNumberFormat="1" applyFont="1" applyFill="1" applyBorder="1" applyAlignment="1">
      <alignment horizontal="center" vertical="center"/>
    </xf>
    <xf numFmtId="175" fontId="3" fillId="53" borderId="39" xfId="0" applyNumberFormat="1" applyFont="1" applyFill="1" applyBorder="1" applyAlignment="1">
      <alignment horizontal="right" vertical="center"/>
    </xf>
    <xf numFmtId="175" fontId="3" fillId="54" borderId="4" xfId="0" applyNumberFormat="1" applyFont="1" applyFill="1" applyBorder="1" applyAlignment="1">
      <alignment horizontal="right" vertical="center"/>
    </xf>
    <xf numFmtId="175" fontId="3" fillId="54" borderId="27" xfId="0" applyNumberFormat="1" applyFont="1" applyFill="1" applyBorder="1" applyAlignment="1">
      <alignment horizontal="right" vertical="center"/>
    </xf>
    <xf numFmtId="175" fontId="3" fillId="54" borderId="0" xfId="0" applyNumberFormat="1" applyFont="1" applyFill="1" applyBorder="1" applyAlignment="1">
      <alignment horizontal="right" vertical="center"/>
    </xf>
    <xf numFmtId="175" fontId="3" fillId="54" borderId="39" xfId="0" applyNumberFormat="1" applyFont="1" applyFill="1" applyBorder="1" applyAlignment="1">
      <alignment horizontal="right" vertical="center"/>
    </xf>
    <xf numFmtId="175" fontId="9" fillId="54" borderId="0" xfId="0" applyNumberFormat="1" applyFont="1" applyFill="1" applyBorder="1" applyAlignment="1">
      <alignment horizontal="right" vertical="center"/>
    </xf>
    <xf numFmtId="175" fontId="3" fillId="54" borderId="38" xfId="0" applyNumberFormat="1" applyFont="1" applyFill="1" applyBorder="1" applyAlignment="1">
      <alignment horizontal="right" vertical="center"/>
    </xf>
    <xf numFmtId="175" fontId="9" fillId="54" borderId="27" xfId="0" applyNumberFormat="1" applyFont="1" applyFill="1" applyBorder="1" applyAlignment="1">
      <alignment horizontal="right" vertical="center"/>
    </xf>
    <xf numFmtId="175" fontId="3" fillId="54" borderId="16" xfId="0" applyNumberFormat="1" applyFont="1" applyFill="1" applyBorder="1" applyAlignment="1">
      <alignment horizontal="right" vertical="center"/>
    </xf>
    <xf numFmtId="175" fontId="3" fillId="54" borderId="18" xfId="0" applyNumberFormat="1" applyFont="1" applyFill="1" applyBorder="1" applyAlignment="1">
      <alignment horizontal="right" vertical="center"/>
    </xf>
    <xf numFmtId="175" fontId="3" fillId="54" borderId="17" xfId="0" applyNumberFormat="1" applyFont="1" applyFill="1" applyBorder="1" applyAlignment="1">
      <alignment horizontal="right" vertical="center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top"/>
    </xf>
    <xf numFmtId="9" fontId="5" fillId="0" borderId="0" xfId="0" applyNumberFormat="1" applyFont="1" applyAlignment="1" quotePrefix="1">
      <alignment horizontal="right" vertical="top"/>
    </xf>
    <xf numFmtId="0" fontId="4" fillId="53" borderId="4" xfId="0" applyFont="1" applyFill="1" applyBorder="1" applyAlignment="1">
      <alignment horizontal="center" vertical="center"/>
    </xf>
    <xf numFmtId="0" fontId="4" fillId="53" borderId="16" xfId="0" applyFont="1" applyFill="1" applyBorder="1" applyAlignment="1">
      <alignment horizontal="center" vertical="center"/>
    </xf>
    <xf numFmtId="0" fontId="4" fillId="53" borderId="15" xfId="0" applyFont="1" applyFill="1" applyBorder="1" applyAlignment="1">
      <alignment horizontal="center" vertical="center"/>
    </xf>
    <xf numFmtId="1" fontId="4" fillId="52" borderId="2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0" fillId="0" borderId="24" xfId="0" applyFill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1" fontId="4" fillId="52" borderId="25" xfId="0" applyNumberFormat="1" applyFont="1" applyFill="1" applyBorder="1" applyAlignment="1">
      <alignment horizontal="center" vertical="center"/>
    </xf>
    <xf numFmtId="1" fontId="4" fillId="52" borderId="26" xfId="0" applyNumberFormat="1" applyFont="1" applyFill="1" applyBorder="1" applyAlignment="1">
      <alignment horizontal="center" vertical="center"/>
    </xf>
    <xf numFmtId="169" fontId="4" fillId="0" borderId="6" xfId="0" applyNumberFormat="1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169" fontId="10" fillId="0" borderId="6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166" fontId="4" fillId="0" borderId="0" xfId="0" applyNumberFormat="1" applyFont="1" applyAlignment="1">
      <alignment/>
    </xf>
    <xf numFmtId="171" fontId="3" fillId="54" borderId="27" xfId="0" applyNumberFormat="1" applyFont="1" applyFill="1" applyBorder="1" applyAlignment="1">
      <alignment vertical="center"/>
    </xf>
    <xf numFmtId="171" fontId="3" fillId="54" borderId="0" xfId="0" applyNumberFormat="1" applyFont="1" applyFill="1" applyBorder="1" applyAlignment="1">
      <alignment vertical="center"/>
    </xf>
    <xf numFmtId="171" fontId="3" fillId="54" borderId="27" xfId="0" applyNumberFormat="1" applyFont="1" applyFill="1" applyBorder="1" applyAlignment="1" quotePrefix="1">
      <alignment horizontal="right" vertical="center"/>
    </xf>
    <xf numFmtId="171" fontId="3" fillId="54" borderId="0" xfId="0" applyNumberFormat="1" applyFont="1" applyFill="1" applyBorder="1" applyAlignment="1" quotePrefix="1">
      <alignment horizontal="right" vertical="center"/>
    </xf>
    <xf numFmtId="171" fontId="3" fillId="54" borderId="0" xfId="0" applyNumberFormat="1" applyFont="1" applyFill="1" applyBorder="1" applyAlignment="1">
      <alignment horizontal="right" vertical="center"/>
    </xf>
    <xf numFmtId="171" fontId="3" fillId="54" borderId="27" xfId="0" applyNumberFormat="1" applyFont="1" applyFill="1" applyBorder="1" applyAlignment="1">
      <alignment horizontal="right" vertical="center"/>
    </xf>
    <xf numFmtId="0" fontId="0" fillId="0" borderId="0" xfId="0" applyAlignment="1">
      <alignment vertical="top"/>
    </xf>
    <xf numFmtId="167" fontId="3" fillId="0" borderId="16" xfId="0" applyNumberFormat="1" applyFont="1" applyFill="1" applyBorder="1" applyAlignment="1">
      <alignment horizontal="right" vertical="center"/>
    </xf>
    <xf numFmtId="167" fontId="3" fillId="54" borderId="15" xfId="0" applyNumberFormat="1" applyFont="1" applyFill="1" applyBorder="1" applyAlignment="1">
      <alignment horizontal="right" vertical="center"/>
    </xf>
    <xf numFmtId="166" fontId="3" fillId="54" borderId="23" xfId="0" applyNumberFormat="1" applyFont="1" applyFill="1" applyBorder="1" applyAlignment="1">
      <alignment horizontal="right" vertical="center"/>
    </xf>
    <xf numFmtId="166" fontId="4" fillId="54" borderId="23" xfId="0" applyNumberFormat="1" applyFont="1" applyFill="1" applyBorder="1" applyAlignment="1">
      <alignment horizontal="right"/>
    </xf>
    <xf numFmtId="166" fontId="4" fillId="54" borderId="24" xfId="0" applyNumberFormat="1" applyFont="1" applyFill="1" applyBorder="1" applyAlignment="1">
      <alignment horizontal="right"/>
    </xf>
    <xf numFmtId="166" fontId="3" fillId="0" borderId="24" xfId="0" applyNumberFormat="1" applyFont="1" applyFill="1" applyBorder="1" applyAlignment="1">
      <alignment horizontal="right" vertical="center" wrapText="1"/>
    </xf>
    <xf numFmtId="2" fontId="3" fillId="54" borderId="15" xfId="0" applyNumberFormat="1" applyFont="1" applyFill="1" applyBorder="1" applyAlignment="1">
      <alignment horizontal="right" vertical="center"/>
    </xf>
    <xf numFmtId="166" fontId="3" fillId="54" borderId="26" xfId="0" applyNumberFormat="1" applyFont="1" applyFill="1" applyBorder="1" applyAlignment="1">
      <alignment horizontal="right" vertical="center"/>
    </xf>
    <xf numFmtId="166" fontId="3" fillId="54" borderId="15" xfId="0" applyNumberFormat="1" applyFont="1" applyFill="1" applyBorder="1" applyAlignment="1">
      <alignment horizontal="right" vertical="center"/>
    </xf>
    <xf numFmtId="166" fontId="4" fillId="54" borderId="1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4" fillId="54" borderId="23" xfId="0" applyFont="1" applyFill="1" applyBorder="1" applyAlignment="1">
      <alignment horizontal="center" vertical="center"/>
    </xf>
    <xf numFmtId="166" fontId="3" fillId="0" borderId="41" xfId="0" applyNumberFormat="1" applyFont="1" applyFill="1" applyBorder="1" applyAlignment="1">
      <alignment horizontal="right" vertical="center"/>
    </xf>
    <xf numFmtId="164" fontId="27" fillId="0" borderId="0" xfId="90" applyNumberFormat="1">
      <alignment/>
      <protection/>
    </xf>
    <xf numFmtId="167" fontId="4" fillId="54" borderId="15" xfId="0" applyNumberFormat="1" applyFont="1" applyFill="1" applyBorder="1" applyAlignment="1">
      <alignment horizontal="right"/>
    </xf>
    <xf numFmtId="167" fontId="10" fillId="54" borderId="26" xfId="0" applyNumberFormat="1" applyFont="1" applyFill="1" applyBorder="1" applyAlignment="1">
      <alignment horizontal="right"/>
    </xf>
    <xf numFmtId="167" fontId="4" fillId="54" borderId="26" xfId="0" applyNumberFormat="1" applyFont="1" applyFill="1" applyBorder="1" applyAlignment="1">
      <alignment horizontal="right"/>
    </xf>
    <xf numFmtId="167" fontId="4" fillId="54" borderId="4" xfId="0" applyNumberFormat="1" applyFont="1" applyFill="1" applyBorder="1" applyAlignment="1">
      <alignment horizontal="right"/>
    </xf>
    <xf numFmtId="167" fontId="10" fillId="54" borderId="0" xfId="0" applyNumberFormat="1" applyFont="1" applyFill="1" applyBorder="1" applyAlignment="1">
      <alignment horizontal="right"/>
    </xf>
    <xf numFmtId="167" fontId="4" fillId="54" borderId="0" xfId="0" applyNumberFormat="1" applyFont="1" applyFill="1" applyBorder="1" applyAlignment="1">
      <alignment horizontal="right"/>
    </xf>
    <xf numFmtId="167" fontId="4" fillId="54" borderId="16" xfId="0" applyNumberFormat="1" applyFont="1" applyFill="1" applyBorder="1" applyAlignment="1">
      <alignment horizontal="right"/>
    </xf>
    <xf numFmtId="167" fontId="10" fillId="54" borderId="17" xfId="0" applyNumberFormat="1" applyFont="1" applyFill="1" applyBorder="1" applyAlignment="1">
      <alignment horizontal="right"/>
    </xf>
    <xf numFmtId="167" fontId="4" fillId="54" borderId="17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 vertical="center"/>
    </xf>
    <xf numFmtId="167" fontId="3" fillId="54" borderId="0" xfId="0" applyNumberFormat="1" applyFont="1" applyFill="1" applyBorder="1" applyAlignment="1">
      <alignment horizontal="right" vertical="center"/>
    </xf>
    <xf numFmtId="167" fontId="3" fillId="54" borderId="38" xfId="0" applyNumberFormat="1" applyFont="1" applyFill="1" applyBorder="1" applyAlignment="1">
      <alignment horizontal="right" vertical="center"/>
    </xf>
    <xf numFmtId="167" fontId="3" fillId="0" borderId="38" xfId="0" applyNumberFormat="1" applyFont="1" applyFill="1" applyBorder="1" applyAlignment="1">
      <alignment horizontal="right" vertical="center"/>
    </xf>
    <xf numFmtId="167" fontId="9" fillId="0" borderId="0" xfId="0" applyNumberFormat="1" applyFont="1" applyFill="1" applyBorder="1" applyAlignment="1">
      <alignment horizontal="right" vertical="center"/>
    </xf>
    <xf numFmtId="167" fontId="3" fillId="54" borderId="39" xfId="0" applyNumberFormat="1" applyFont="1" applyFill="1" applyBorder="1" applyAlignment="1">
      <alignment horizontal="right" vertical="center"/>
    </xf>
    <xf numFmtId="167" fontId="9" fillId="54" borderId="0" xfId="0" applyNumberFormat="1" applyFont="1" applyFill="1" applyBorder="1" applyAlignment="1">
      <alignment horizontal="right" vertical="center"/>
    </xf>
    <xf numFmtId="167" fontId="3" fillId="54" borderId="24" xfId="0" applyNumberFormat="1" applyFont="1" applyFill="1" applyBorder="1" applyAlignment="1">
      <alignment horizontal="right" vertical="center"/>
    </xf>
    <xf numFmtId="167" fontId="3" fillId="0" borderId="24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 wrapText="1"/>
    </xf>
    <xf numFmtId="167" fontId="3" fillId="0" borderId="24" xfId="0" applyNumberFormat="1" applyFont="1" applyFill="1" applyBorder="1" applyAlignment="1">
      <alignment horizontal="right" vertical="center" wrapText="1"/>
    </xf>
    <xf numFmtId="167" fontId="3" fillId="54" borderId="17" xfId="0" applyNumberFormat="1" applyFont="1" applyFill="1" applyBorder="1" applyAlignment="1">
      <alignment horizontal="right" vertical="center"/>
    </xf>
    <xf numFmtId="167" fontId="3" fillId="54" borderId="19" xfId="0" applyNumberFormat="1" applyFont="1" applyFill="1" applyBorder="1" applyAlignment="1">
      <alignment horizontal="right" vertical="center"/>
    </xf>
    <xf numFmtId="167" fontId="3" fillId="0" borderId="26" xfId="0" applyNumberFormat="1" applyFont="1" applyFill="1" applyBorder="1" applyAlignment="1">
      <alignment horizontal="right" vertical="center"/>
    </xf>
    <xf numFmtId="167" fontId="3" fillId="0" borderId="17" xfId="0" applyNumberFormat="1" applyFont="1" applyFill="1" applyBorder="1" applyAlignment="1">
      <alignment horizontal="right" vertical="center"/>
    </xf>
    <xf numFmtId="167" fontId="3" fillId="0" borderId="19" xfId="0" applyNumberFormat="1" applyFont="1" applyFill="1" applyBorder="1" applyAlignment="1">
      <alignment horizontal="right" vertical="center"/>
    </xf>
    <xf numFmtId="167" fontId="3" fillId="54" borderId="26" xfId="0" applyNumberFormat="1" applyFont="1" applyFill="1" applyBorder="1" applyAlignment="1">
      <alignment horizontal="right" vertical="center"/>
    </xf>
    <xf numFmtId="167" fontId="3" fillId="54" borderId="23" xfId="0" applyNumberFormat="1" applyFont="1" applyFill="1" applyBorder="1" applyAlignment="1">
      <alignment horizontal="right" vertical="center"/>
    </xf>
    <xf numFmtId="178" fontId="4" fillId="53" borderId="25" xfId="0" applyNumberFormat="1" applyFont="1" applyFill="1" applyBorder="1" applyAlignment="1" quotePrefix="1">
      <alignment horizontal="right" vertical="center"/>
    </xf>
    <xf numFmtId="178" fontId="4" fillId="53" borderId="26" xfId="0" applyNumberFormat="1" applyFont="1" applyFill="1" applyBorder="1" applyAlignment="1" quotePrefix="1">
      <alignment horizontal="right" vertical="center"/>
    </xf>
    <xf numFmtId="178" fontId="4" fillId="53" borderId="26" xfId="0" applyNumberFormat="1" applyFont="1" applyFill="1" applyBorder="1" applyAlignment="1">
      <alignment horizontal="right" vertical="center"/>
    </xf>
    <xf numFmtId="178" fontId="10" fillId="53" borderId="26" xfId="0" applyNumberFormat="1" applyFont="1" applyFill="1" applyBorder="1" applyAlignment="1">
      <alignment horizontal="right" vertical="center"/>
    </xf>
    <xf numFmtId="178" fontId="4" fillId="53" borderId="15" xfId="0" applyNumberFormat="1" applyFont="1" applyFill="1" applyBorder="1" applyAlignment="1">
      <alignment horizontal="right" vertical="center"/>
    </xf>
    <xf numFmtId="178" fontId="4" fillId="53" borderId="0" xfId="0" applyNumberFormat="1" applyFont="1" applyFill="1" applyBorder="1" applyAlignment="1" quotePrefix="1">
      <alignment horizontal="right" vertical="center"/>
    </xf>
    <xf numFmtId="178" fontId="10" fillId="53" borderId="0" xfId="0" applyNumberFormat="1" applyFont="1" applyFill="1" applyBorder="1" applyAlignment="1" quotePrefix="1">
      <alignment horizontal="right" vertical="center"/>
    </xf>
    <xf numFmtId="178" fontId="4" fillId="53" borderId="4" xfId="0" applyNumberFormat="1" applyFont="1" applyFill="1" applyBorder="1" applyAlignment="1" quotePrefix="1">
      <alignment horizontal="right" vertical="center"/>
    </xf>
    <xf numFmtId="178" fontId="4" fillId="53" borderId="18" xfId="0" applyNumberFormat="1" applyFont="1" applyFill="1" applyBorder="1" applyAlignment="1" quotePrefix="1">
      <alignment horizontal="right" vertical="center"/>
    </xf>
    <xf numFmtId="178" fontId="3" fillId="0" borderId="25" xfId="0" applyNumberFormat="1" applyFont="1" applyFill="1" applyBorder="1" applyAlignment="1" quotePrefix="1">
      <alignment horizontal="right" vertical="center"/>
    </xf>
    <xf numFmtId="178" fontId="3" fillId="0" borderId="26" xfId="0" applyNumberFormat="1" applyFont="1" applyFill="1" applyBorder="1" applyAlignment="1" quotePrefix="1">
      <alignment horizontal="right" vertical="center"/>
    </xf>
    <xf numFmtId="178" fontId="3" fillId="0" borderId="26" xfId="0" applyNumberFormat="1" applyFont="1" applyFill="1" applyBorder="1" applyAlignment="1">
      <alignment horizontal="right" vertical="center"/>
    </xf>
    <xf numFmtId="178" fontId="3" fillId="0" borderId="41" xfId="0" applyNumberFormat="1" applyFont="1" applyFill="1" applyBorder="1" applyAlignment="1">
      <alignment horizontal="right" vertical="center"/>
    </xf>
    <xf numFmtId="178" fontId="3" fillId="0" borderId="15" xfId="0" applyNumberFormat="1" applyFont="1" applyFill="1" applyBorder="1" applyAlignment="1">
      <alignment horizontal="right" vertical="center"/>
    </xf>
    <xf numFmtId="178" fontId="3" fillId="53" borderId="27" xfId="0" applyNumberFormat="1" applyFont="1" applyFill="1" applyBorder="1" applyAlignment="1">
      <alignment horizontal="right" vertical="center"/>
    </xf>
    <xf numFmtId="178" fontId="3" fillId="53" borderId="0" xfId="0" applyNumberFormat="1" applyFont="1" applyFill="1" applyBorder="1" applyAlignment="1">
      <alignment horizontal="right" vertical="center"/>
    </xf>
    <xf numFmtId="178" fontId="3" fillId="53" borderId="38" xfId="0" applyNumberFormat="1" applyFont="1" applyFill="1" applyBorder="1" applyAlignment="1">
      <alignment horizontal="right" vertical="center"/>
    </xf>
    <xf numFmtId="178" fontId="3" fillId="53" borderId="4" xfId="0" applyNumberFormat="1" applyFont="1" applyFill="1" applyBorder="1" applyAlignment="1">
      <alignment horizontal="right" vertical="center"/>
    </xf>
    <xf numFmtId="178" fontId="3" fillId="0" borderId="27" xfId="0" applyNumberFormat="1" applyFont="1" applyFill="1" applyBorder="1" applyAlignment="1" quotePrefix="1">
      <alignment horizontal="right" vertical="center"/>
    </xf>
    <xf numFmtId="178" fontId="3" fillId="0" borderId="0" xfId="0" applyNumberFormat="1" applyFont="1" applyFill="1" applyBorder="1" applyAlignment="1" quotePrefix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Border="1" applyAlignment="1">
      <alignment vertical="top" wrapText="1"/>
    </xf>
    <xf numFmtId="178" fontId="3" fillId="0" borderId="4" xfId="0" applyNumberFormat="1" applyFont="1" applyBorder="1" applyAlignment="1">
      <alignment vertical="top" wrapText="1"/>
    </xf>
    <xf numFmtId="178" fontId="3" fillId="0" borderId="27" xfId="0" applyNumberFormat="1" applyFont="1" applyFill="1" applyBorder="1" applyAlignment="1">
      <alignment horizontal="right" vertical="center"/>
    </xf>
    <xf numFmtId="178" fontId="3" fillId="0" borderId="38" xfId="0" applyNumberFormat="1" applyFont="1" applyFill="1" applyBorder="1" applyAlignment="1">
      <alignment horizontal="right" vertical="center"/>
    </xf>
    <xf numFmtId="178" fontId="3" fillId="0" borderId="39" xfId="0" applyNumberFormat="1" applyFont="1" applyFill="1" applyBorder="1" applyAlignment="1">
      <alignment horizontal="right" vertical="center"/>
    </xf>
    <xf numFmtId="178" fontId="3" fillId="0" borderId="24" xfId="0" applyNumberFormat="1" applyFont="1" applyFill="1" applyBorder="1" applyAlignment="1">
      <alignment horizontal="right" vertical="center"/>
    </xf>
    <xf numFmtId="178" fontId="3" fillId="0" borderId="4" xfId="0" applyNumberFormat="1" applyFont="1" applyFill="1" applyBorder="1" applyAlignment="1">
      <alignment horizontal="right" vertical="center"/>
    </xf>
    <xf numFmtId="178" fontId="3" fillId="53" borderId="39" xfId="0" applyNumberFormat="1" applyFont="1" applyFill="1" applyBorder="1" applyAlignment="1">
      <alignment horizontal="right" vertical="center"/>
    </xf>
    <xf numFmtId="178" fontId="3" fillId="54" borderId="4" xfId="0" applyNumberFormat="1" applyFont="1" applyFill="1" applyBorder="1" applyAlignment="1">
      <alignment horizontal="right" vertical="center"/>
    </xf>
    <xf numFmtId="178" fontId="3" fillId="54" borderId="27" xfId="0" applyNumberFormat="1" applyFont="1" applyFill="1" applyBorder="1" applyAlignment="1">
      <alignment horizontal="right" vertical="center"/>
    </xf>
    <xf numFmtId="178" fontId="3" fillId="54" borderId="0" xfId="0" applyNumberFormat="1" applyFont="1" applyFill="1" applyBorder="1" applyAlignment="1">
      <alignment horizontal="right" vertical="center"/>
    </xf>
    <xf numFmtId="178" fontId="3" fillId="54" borderId="39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/>
    </xf>
    <xf numFmtId="178" fontId="3" fillId="0" borderId="39" xfId="0" applyNumberFormat="1" applyFont="1" applyBorder="1" applyAlignment="1">
      <alignment/>
    </xf>
    <xf numFmtId="178" fontId="3" fillId="0" borderId="0" xfId="0" applyNumberFormat="1" applyFont="1" applyAlignment="1">
      <alignment/>
    </xf>
    <xf numFmtId="178" fontId="3" fillId="54" borderId="38" xfId="0" applyNumberFormat="1" applyFont="1" applyFill="1" applyBorder="1" applyAlignment="1">
      <alignment horizontal="right" vertical="center"/>
    </xf>
    <xf numFmtId="178" fontId="9" fillId="54" borderId="0" xfId="0" applyNumberFormat="1" applyFont="1" applyFill="1" applyBorder="1" applyAlignment="1">
      <alignment horizontal="right" vertical="center"/>
    </xf>
    <xf numFmtId="178" fontId="3" fillId="54" borderId="18" xfId="0" applyNumberFormat="1" applyFont="1" applyFill="1" applyBorder="1" applyAlignment="1">
      <alignment horizontal="right" vertical="center"/>
    </xf>
    <xf numFmtId="178" fontId="3" fillId="54" borderId="17" xfId="0" applyNumberFormat="1" applyFont="1" applyFill="1" applyBorder="1" applyAlignment="1">
      <alignment horizontal="right" vertical="center"/>
    </xf>
    <xf numFmtId="178" fontId="3" fillId="54" borderId="40" xfId="0" applyNumberFormat="1" applyFont="1" applyFill="1" applyBorder="1" applyAlignment="1">
      <alignment horizontal="right" vertical="center"/>
    </xf>
    <xf numFmtId="178" fontId="3" fillId="54" borderId="16" xfId="0" applyNumberFormat="1" applyFont="1" applyFill="1" applyBorder="1" applyAlignment="1">
      <alignment horizontal="right" vertical="center"/>
    </xf>
    <xf numFmtId="178" fontId="3" fillId="0" borderId="25" xfId="0" applyNumberFormat="1" applyFont="1" applyFill="1" applyBorder="1" applyAlignment="1">
      <alignment horizontal="right" vertical="center"/>
    </xf>
    <xf numFmtId="178" fontId="3" fillId="0" borderId="18" xfId="0" applyNumberFormat="1" applyFont="1" applyFill="1" applyBorder="1" applyAlignment="1">
      <alignment horizontal="right" vertical="center"/>
    </xf>
    <xf numFmtId="178" fontId="3" fillId="0" borderId="17" xfId="0" applyNumberFormat="1" applyFont="1" applyFill="1" applyBorder="1" applyAlignment="1">
      <alignment horizontal="right" vertical="center"/>
    </xf>
    <xf numFmtId="178" fontId="3" fillId="0" borderId="16" xfId="0" applyNumberFormat="1" applyFont="1" applyFill="1" applyBorder="1" applyAlignment="1">
      <alignment horizontal="right" vertical="center"/>
    </xf>
    <xf numFmtId="178" fontId="3" fillId="54" borderId="25" xfId="0" applyNumberFormat="1" applyFont="1" applyFill="1" applyBorder="1" applyAlignment="1">
      <alignment horizontal="right" vertical="center"/>
    </xf>
    <xf numFmtId="178" fontId="3" fillId="54" borderId="26" xfId="0" applyNumberFormat="1" applyFont="1" applyFill="1" applyBorder="1" applyAlignment="1">
      <alignment horizontal="right" vertical="center"/>
    </xf>
    <xf numFmtId="178" fontId="3" fillId="54" borderId="15" xfId="0" applyNumberFormat="1" applyFont="1" applyFill="1" applyBorder="1" applyAlignment="1">
      <alignment horizontal="right" vertical="center"/>
    </xf>
    <xf numFmtId="178" fontId="4" fillId="53" borderId="25" xfId="0" applyNumberFormat="1" applyFont="1" applyFill="1" applyBorder="1" applyAlignment="1">
      <alignment horizontal="center" vertical="center"/>
    </xf>
    <xf numFmtId="178" fontId="4" fillId="53" borderId="26" xfId="0" applyNumberFormat="1" applyFont="1" applyFill="1" applyBorder="1" applyAlignment="1">
      <alignment horizontal="center" vertical="center"/>
    </xf>
    <xf numFmtId="178" fontId="4" fillId="53" borderId="27" xfId="0" applyNumberFormat="1" applyFont="1" applyFill="1" applyBorder="1" applyAlignment="1">
      <alignment horizontal="center" vertical="center"/>
    </xf>
    <xf numFmtId="178" fontId="4" fillId="53" borderId="0" xfId="0" applyNumberFormat="1" applyFont="1" applyFill="1" applyBorder="1" applyAlignment="1">
      <alignment horizontal="right" vertical="center"/>
    </xf>
    <xf numFmtId="178" fontId="10" fillId="53" borderId="0" xfId="0" applyNumberFormat="1" applyFont="1" applyFill="1" applyBorder="1" applyAlignment="1">
      <alignment horizontal="right" vertical="center"/>
    </xf>
    <xf numFmtId="178" fontId="4" fillId="53" borderId="18" xfId="0" applyNumberFormat="1" applyFont="1" applyFill="1" applyBorder="1" applyAlignment="1">
      <alignment horizontal="center" vertical="center"/>
    </xf>
    <xf numFmtId="178" fontId="4" fillId="53" borderId="17" xfId="0" applyNumberFormat="1" applyFont="1" applyFill="1" applyBorder="1" applyAlignment="1">
      <alignment horizontal="right" vertical="center"/>
    </xf>
    <xf numFmtId="178" fontId="3" fillId="53" borderId="24" xfId="0" applyNumberFormat="1" applyFont="1" applyFill="1" applyBorder="1" applyAlignment="1">
      <alignment horizontal="right" vertical="center"/>
    </xf>
    <xf numFmtId="178" fontId="9" fillId="53" borderId="0" xfId="0" applyNumberFormat="1" applyFont="1" applyFill="1" applyBorder="1" applyAlignment="1">
      <alignment horizontal="right" vertical="center"/>
    </xf>
    <xf numFmtId="178" fontId="9" fillId="54" borderId="27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5" fillId="0" borderId="0" xfId="0" applyFont="1" applyAlignment="1" quotePrefix="1">
      <alignment horizontal="right" vertical="top"/>
    </xf>
    <xf numFmtId="0" fontId="4" fillId="52" borderId="0" xfId="0" applyFont="1" applyFill="1" applyBorder="1" applyAlignment="1">
      <alignment horizontal="center" vertical="center" wrapText="1"/>
    </xf>
    <xf numFmtId="166" fontId="23" fillId="0" borderId="18" xfId="0" applyNumberFormat="1" applyFont="1" applyFill="1" applyBorder="1" applyAlignment="1">
      <alignment horizontal="right" vertical="center"/>
    </xf>
    <xf numFmtId="166" fontId="23" fillId="0" borderId="17" xfId="0" applyNumberFormat="1" applyFont="1" applyFill="1" applyBorder="1" applyAlignment="1">
      <alignment horizontal="right" vertical="center"/>
    </xf>
    <xf numFmtId="178" fontId="4" fillId="53" borderId="25" xfId="0" applyNumberFormat="1" applyFont="1" applyFill="1" applyBorder="1" applyAlignment="1">
      <alignment horizontal="right" vertical="center"/>
    </xf>
    <xf numFmtId="178" fontId="4" fillId="53" borderId="23" xfId="0" applyNumberFormat="1" applyFont="1" applyFill="1" applyBorder="1" applyAlignment="1">
      <alignment horizontal="right" vertical="center"/>
    </xf>
    <xf numFmtId="178" fontId="4" fillId="53" borderId="27" xfId="0" applyNumberFormat="1" applyFont="1" applyFill="1" applyBorder="1" applyAlignment="1">
      <alignment horizontal="right" vertical="center"/>
    </xf>
    <xf numFmtId="178" fontId="4" fillId="54" borderId="0" xfId="0" applyNumberFormat="1" applyFont="1" applyFill="1" applyBorder="1" applyAlignment="1">
      <alignment horizontal="right" vertical="center"/>
    </xf>
    <xf numFmtId="178" fontId="4" fillId="53" borderId="24" xfId="0" applyNumberFormat="1" applyFont="1" applyFill="1" applyBorder="1" applyAlignment="1">
      <alignment horizontal="right" vertical="center"/>
    </xf>
    <xf numFmtId="178" fontId="4" fillId="53" borderId="18" xfId="0" applyNumberFormat="1" applyFont="1" applyFill="1" applyBorder="1" applyAlignment="1">
      <alignment horizontal="right" vertical="center"/>
    </xf>
    <xf numFmtId="178" fontId="4" fillId="53" borderId="19" xfId="0" applyNumberFormat="1" applyFont="1" applyFill="1" applyBorder="1" applyAlignment="1">
      <alignment horizontal="right" vertical="center"/>
    </xf>
    <xf numFmtId="178" fontId="3" fillId="0" borderId="23" xfId="0" applyNumberFormat="1" applyFont="1" applyFill="1" applyBorder="1" applyAlignment="1">
      <alignment horizontal="right" vertical="center"/>
    </xf>
    <xf numFmtId="178" fontId="3" fillId="54" borderId="24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Alignment="1">
      <alignment horizontal="center" vertical="center"/>
    </xf>
    <xf numFmtId="178" fontId="3" fillId="54" borderId="19" xfId="0" applyNumberFormat="1" applyFont="1" applyFill="1" applyBorder="1" applyAlignment="1">
      <alignment horizontal="right" vertical="center"/>
    </xf>
    <xf numFmtId="178" fontId="9" fillId="0" borderId="24" xfId="0" applyNumberFormat="1" applyFont="1" applyFill="1" applyBorder="1" applyAlignment="1">
      <alignment horizontal="right" vertical="center"/>
    </xf>
    <xf numFmtId="178" fontId="23" fillId="0" borderId="17" xfId="0" applyNumberFormat="1" applyFont="1" applyFill="1" applyBorder="1" applyAlignment="1">
      <alignment horizontal="right" vertical="center"/>
    </xf>
    <xf numFmtId="178" fontId="3" fillId="0" borderId="19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5" fontId="3" fillId="54" borderId="25" xfId="0" applyNumberFormat="1" applyFont="1" applyFill="1" applyBorder="1" applyAlignment="1">
      <alignment horizontal="right" vertical="center"/>
    </xf>
    <xf numFmtId="167" fontId="10" fillId="53" borderId="25" xfId="0" applyNumberFormat="1" applyFont="1" applyFill="1" applyBorder="1" applyAlignment="1">
      <alignment horizontal="right" vertical="center"/>
    </xf>
    <xf numFmtId="167" fontId="10" fillId="53" borderId="26" xfId="0" applyNumberFormat="1" applyFont="1" applyFill="1" applyBorder="1" applyAlignment="1">
      <alignment horizontal="right" vertical="center"/>
    </xf>
    <xf numFmtId="167" fontId="4" fillId="53" borderId="26" xfId="0" applyNumberFormat="1" applyFont="1" applyFill="1" applyBorder="1" applyAlignment="1">
      <alignment horizontal="right" vertical="center"/>
    </xf>
    <xf numFmtId="167" fontId="4" fillId="53" borderId="24" xfId="0" applyNumberFormat="1" applyFont="1" applyFill="1" applyBorder="1" applyAlignment="1">
      <alignment horizontal="right" vertical="center"/>
    </xf>
    <xf numFmtId="167" fontId="10" fillId="53" borderId="0" xfId="0" applyNumberFormat="1" applyFont="1" applyFill="1" applyBorder="1" applyAlignment="1">
      <alignment horizontal="right" vertical="center"/>
    </xf>
    <xf numFmtId="167" fontId="10" fillId="53" borderId="24" xfId="0" applyNumberFormat="1" applyFont="1" applyFill="1" applyBorder="1" applyAlignment="1">
      <alignment horizontal="right" vertical="center"/>
    </xf>
    <xf numFmtId="167" fontId="4" fillId="53" borderId="27" xfId="0" applyNumberFormat="1" applyFont="1" applyFill="1" applyBorder="1" applyAlignment="1">
      <alignment horizontal="right" vertical="center"/>
    </xf>
    <xf numFmtId="167" fontId="4" fillId="53" borderId="0" xfId="0" applyNumberFormat="1" applyFont="1" applyFill="1" applyBorder="1" applyAlignment="1">
      <alignment horizontal="right" vertical="center"/>
    </xf>
    <xf numFmtId="167" fontId="4" fillId="53" borderId="18" xfId="0" applyNumberFormat="1" applyFont="1" applyFill="1" applyBorder="1" applyAlignment="1">
      <alignment horizontal="right" vertical="center"/>
    </xf>
    <xf numFmtId="167" fontId="4" fillId="53" borderId="17" xfId="0" applyNumberFormat="1" applyFont="1" applyFill="1" applyBorder="1" applyAlignment="1">
      <alignment horizontal="right" vertical="center"/>
    </xf>
    <xf numFmtId="167" fontId="10" fillId="53" borderId="18" xfId="0" applyNumberFormat="1" applyFont="1" applyFill="1" applyBorder="1" applyAlignment="1">
      <alignment horizontal="right" vertical="center"/>
    </xf>
    <xf numFmtId="167" fontId="10" fillId="53" borderId="17" xfId="0" applyNumberFormat="1" applyFont="1" applyFill="1" applyBorder="1" applyAlignment="1">
      <alignment horizontal="right" vertical="center"/>
    </xf>
    <xf numFmtId="167" fontId="16" fillId="0" borderId="0" xfId="140" applyNumberFormat="1" applyFont="1" applyFill="1" applyBorder="1" applyAlignment="1">
      <alignment vertical="center"/>
      <protection locked="0"/>
    </xf>
    <xf numFmtId="167" fontId="16" fillId="0" borderId="26" xfId="140" applyNumberFormat="1" applyFont="1" applyFill="1" applyBorder="1" applyAlignment="1">
      <alignment vertical="center"/>
      <protection locked="0"/>
    </xf>
    <xf numFmtId="167" fontId="16" fillId="0" borderId="23" xfId="140" applyNumberFormat="1" applyFont="1" applyFill="1" applyBorder="1" applyAlignment="1">
      <alignment vertical="center"/>
      <protection locked="0"/>
    </xf>
    <xf numFmtId="167" fontId="16" fillId="0" borderId="27" xfId="140" applyNumberFormat="1" applyFont="1" applyFill="1" applyBorder="1" applyAlignment="1">
      <alignment vertical="center"/>
      <protection locked="0"/>
    </xf>
    <xf numFmtId="167" fontId="16" fillId="0" borderId="25" xfId="140" applyNumberFormat="1" applyFont="1" applyFill="1" applyBorder="1" applyAlignment="1">
      <alignment vertical="center"/>
      <protection locked="0"/>
    </xf>
    <xf numFmtId="167" fontId="16" fillId="53" borderId="0" xfId="140" applyNumberFormat="1" applyFont="1" applyFill="1" applyBorder="1" applyAlignment="1">
      <alignment vertical="center"/>
      <protection locked="0"/>
    </xf>
    <xf numFmtId="167" fontId="16" fillId="53" borderId="24" xfId="140" applyNumberFormat="1" applyFont="1" applyFill="1" applyBorder="1" applyAlignment="1">
      <alignment vertical="center"/>
      <protection locked="0"/>
    </xf>
    <xf numFmtId="167" fontId="16" fillId="53" borderId="27" xfId="140" applyNumberFormat="1" applyFont="1" applyFill="1" applyBorder="1" applyAlignment="1">
      <alignment horizontal="center" vertical="center"/>
      <protection locked="0"/>
    </xf>
    <xf numFmtId="167" fontId="16" fillId="53" borderId="0" xfId="140" applyNumberFormat="1" applyFont="1" applyFill="1" applyBorder="1" applyAlignment="1">
      <alignment horizontal="center" vertical="center"/>
      <protection locked="0"/>
    </xf>
    <xf numFmtId="167" fontId="16" fillId="54" borderId="0" xfId="140" applyNumberFormat="1" applyFont="1" applyFill="1" applyBorder="1" applyAlignment="1">
      <alignment horizontal="center" vertical="center"/>
      <protection locked="0"/>
    </xf>
    <xf numFmtId="167" fontId="16" fillId="54" borderId="24" xfId="140" applyNumberFormat="1" applyFont="1" applyFill="1" applyBorder="1" applyAlignment="1">
      <alignment horizontal="center" vertical="center"/>
      <protection locked="0"/>
    </xf>
    <xf numFmtId="167" fontId="16" fillId="0" borderId="24" xfId="140" applyNumberFormat="1" applyFont="1" applyFill="1" applyBorder="1" applyAlignment="1">
      <alignment vertical="center"/>
      <protection locked="0"/>
    </xf>
    <xf numFmtId="167" fontId="16" fillId="53" borderId="27" xfId="140" applyNumberFormat="1" applyFont="1" applyFill="1" applyBorder="1" applyAlignment="1">
      <alignment vertical="center"/>
      <protection locked="0"/>
    </xf>
    <xf numFmtId="167" fontId="16" fillId="0" borderId="39" xfId="140" applyNumberFormat="1" applyFont="1" applyFill="1" applyBorder="1" applyAlignment="1">
      <alignment vertical="center"/>
      <protection locked="0"/>
    </xf>
    <xf numFmtId="167" fontId="16" fillId="0" borderId="27" xfId="140" applyNumberFormat="1" applyFont="1" applyFill="1" applyBorder="1" applyAlignment="1">
      <alignment horizontal="center" vertical="center"/>
      <protection locked="0"/>
    </xf>
    <xf numFmtId="167" fontId="16" fillId="0" borderId="0" xfId="140" applyNumberFormat="1" applyFont="1" applyFill="1" applyBorder="1" applyAlignment="1">
      <alignment horizontal="center" vertical="center"/>
      <protection locked="0"/>
    </xf>
    <xf numFmtId="167" fontId="16" fillId="0" borderId="0" xfId="140" applyNumberFormat="1" applyFont="1" applyFill="1" applyBorder="1" applyAlignment="1" quotePrefix="1">
      <alignment horizontal="center" vertical="center"/>
      <protection locked="0"/>
    </xf>
    <xf numFmtId="167" fontId="16" fillId="0" borderId="0" xfId="140" applyNumberFormat="1" applyFont="1" applyFill="1" applyBorder="1" applyAlignment="1" quotePrefix="1">
      <alignment horizontal="right" vertical="center"/>
      <protection locked="0"/>
    </xf>
    <xf numFmtId="167" fontId="16" fillId="0" borderId="24" xfId="140" applyNumberFormat="1" applyFont="1" applyFill="1" applyBorder="1" applyAlignment="1" quotePrefix="1">
      <alignment horizontal="right" vertical="center"/>
      <protection locked="0"/>
    </xf>
    <xf numFmtId="167" fontId="16" fillId="0" borderId="0" xfId="140" applyNumberFormat="1" applyFont="1" applyFill="1" applyBorder="1" applyAlignment="1">
      <alignment horizontal="right" vertical="center"/>
      <protection locked="0"/>
    </xf>
    <xf numFmtId="167" fontId="16" fillId="0" borderId="24" xfId="140" applyNumberFormat="1" applyFont="1" applyFill="1" applyBorder="1" applyAlignment="1">
      <alignment horizontal="right" vertical="center"/>
      <protection locked="0"/>
    </xf>
    <xf numFmtId="167" fontId="16" fillId="54" borderId="0" xfId="140" applyNumberFormat="1" applyFont="1" applyFill="1" applyBorder="1" applyAlignment="1">
      <alignment vertical="center"/>
      <protection locked="0"/>
    </xf>
    <xf numFmtId="167" fontId="16" fillId="54" borderId="24" xfId="140" applyNumberFormat="1" applyFont="1" applyFill="1" applyBorder="1" applyAlignment="1">
      <alignment vertical="center"/>
      <protection locked="0"/>
    </xf>
    <xf numFmtId="167" fontId="16" fillId="54" borderId="27" xfId="140" applyNumberFormat="1" applyFont="1" applyFill="1" applyBorder="1" applyAlignment="1">
      <alignment vertical="center"/>
      <protection locked="0"/>
    </xf>
    <xf numFmtId="167" fontId="16" fillId="54" borderId="27" xfId="140" applyNumberFormat="1" applyFont="1" applyFill="1" applyBorder="1" applyAlignment="1" quotePrefix="1">
      <alignment horizontal="center" vertical="center"/>
      <protection locked="0"/>
    </xf>
    <xf numFmtId="167" fontId="16" fillId="54" borderId="0" xfId="140" applyNumberFormat="1" applyFont="1" applyFill="1" applyBorder="1" applyAlignment="1" quotePrefix="1">
      <alignment horizontal="center" vertical="center"/>
      <protection locked="0"/>
    </xf>
    <xf numFmtId="167" fontId="16" fillId="54" borderId="24" xfId="140" applyNumberFormat="1" applyFont="1" applyFill="1" applyBorder="1" applyAlignment="1" quotePrefix="1">
      <alignment horizontal="center" vertical="center"/>
      <protection locked="0"/>
    </xf>
    <xf numFmtId="167" fontId="16" fillId="54" borderId="17" xfId="140" applyNumberFormat="1" applyFont="1" applyFill="1" applyBorder="1" applyAlignment="1">
      <alignment vertical="center"/>
      <protection locked="0"/>
    </xf>
    <xf numFmtId="167" fontId="16" fillId="54" borderId="19" xfId="140" applyNumberFormat="1" applyFont="1" applyFill="1" applyBorder="1" applyAlignment="1">
      <alignment vertical="center"/>
      <protection locked="0"/>
    </xf>
    <xf numFmtId="167" fontId="16" fillId="54" borderId="18" xfId="140" applyNumberFormat="1" applyFont="1" applyFill="1" applyBorder="1" applyAlignment="1">
      <alignment vertical="center"/>
      <protection locked="0"/>
    </xf>
    <xf numFmtId="167" fontId="16" fillId="0" borderId="17" xfId="140" applyNumberFormat="1" applyFont="1" applyFill="1" applyBorder="1" applyAlignment="1">
      <alignment vertical="center"/>
      <protection locked="0"/>
    </xf>
    <xf numFmtId="167" fontId="16" fillId="0" borderId="19" xfId="140" applyNumberFormat="1" applyFont="1" applyFill="1" applyBorder="1" applyAlignment="1">
      <alignment vertical="center"/>
      <protection locked="0"/>
    </xf>
    <xf numFmtId="167" fontId="16" fillId="0" borderId="18" xfId="140" applyNumberFormat="1" applyFont="1" applyFill="1" applyBorder="1" applyAlignment="1">
      <alignment vertical="center"/>
      <protection locked="0"/>
    </xf>
    <xf numFmtId="167" fontId="4" fillId="53" borderId="25" xfId="0" applyNumberFormat="1" applyFont="1" applyFill="1" applyBorder="1" applyAlignment="1">
      <alignment horizontal="right" vertical="center"/>
    </xf>
    <xf numFmtId="167" fontId="4" fillId="53" borderId="23" xfId="0" applyNumberFormat="1" applyFont="1" applyFill="1" applyBorder="1" applyAlignment="1">
      <alignment horizontal="right" vertical="center"/>
    </xf>
    <xf numFmtId="167" fontId="4" fillId="53" borderId="19" xfId="0" applyNumberFormat="1" applyFont="1" applyFill="1" applyBorder="1" applyAlignment="1">
      <alignment horizontal="right" vertical="center"/>
    </xf>
    <xf numFmtId="167" fontId="3" fillId="0" borderId="27" xfId="0" applyNumberFormat="1" applyFont="1" applyFill="1" applyBorder="1" applyAlignment="1">
      <alignment horizontal="right" vertical="center"/>
    </xf>
    <xf numFmtId="167" fontId="3" fillId="53" borderId="27" xfId="0" applyNumberFormat="1" applyFont="1" applyFill="1" applyBorder="1" applyAlignment="1">
      <alignment horizontal="right" vertical="center"/>
    </xf>
    <xf numFmtId="167" fontId="3" fillId="53" borderId="0" xfId="0" applyNumberFormat="1" applyFont="1" applyFill="1" applyBorder="1" applyAlignment="1">
      <alignment horizontal="right" vertical="center"/>
    </xf>
    <xf numFmtId="167" fontId="16" fillId="0" borderId="27" xfId="140" applyNumberFormat="1" applyFont="1" applyFill="1" applyBorder="1" applyAlignment="1" quotePrefix="1">
      <alignment horizontal="center" vertical="center"/>
      <protection locked="0"/>
    </xf>
    <xf numFmtId="167" fontId="3" fillId="54" borderId="27" xfId="0" applyNumberFormat="1" applyFont="1" applyFill="1" applyBorder="1" applyAlignment="1">
      <alignment horizontal="right" vertical="center"/>
    </xf>
    <xf numFmtId="167" fontId="3" fillId="54" borderId="18" xfId="0" applyNumberFormat="1" applyFont="1" applyFill="1" applyBorder="1" applyAlignment="1">
      <alignment horizontal="right" vertical="center"/>
    </xf>
    <xf numFmtId="167" fontId="3" fillId="0" borderId="27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7" fontId="3" fillId="54" borderId="27" xfId="0" applyNumberFormat="1" applyFont="1" applyFill="1" applyBorder="1" applyAlignment="1">
      <alignment vertical="center"/>
    </xf>
    <xf numFmtId="167" fontId="3" fillId="54" borderId="0" xfId="0" applyNumberFormat="1" applyFont="1" applyFill="1" applyBorder="1" applyAlignment="1">
      <alignment vertical="center"/>
    </xf>
    <xf numFmtId="167" fontId="3" fillId="0" borderId="18" xfId="0" applyNumberFormat="1" applyFont="1" applyFill="1" applyBorder="1" applyAlignment="1">
      <alignment vertical="center"/>
    </xf>
    <xf numFmtId="167" fontId="3" fillId="0" borderId="17" xfId="0" applyNumberFormat="1" applyFont="1" applyFill="1" applyBorder="1" applyAlignment="1">
      <alignment vertical="center"/>
    </xf>
    <xf numFmtId="166" fontId="0" fillId="0" borderId="0" xfId="0" applyNumberFormat="1" applyAlignment="1">
      <alignment horizontal="center"/>
    </xf>
    <xf numFmtId="178" fontId="10" fillId="53" borderId="25" xfId="0" applyNumberFormat="1" applyFont="1" applyFill="1" applyBorder="1" applyAlignment="1">
      <alignment horizontal="right" vertical="center"/>
    </xf>
    <xf numFmtId="178" fontId="10" fillId="53" borderId="17" xfId="0" applyNumberFormat="1" applyFont="1" applyFill="1" applyBorder="1" applyAlignment="1">
      <alignment horizontal="right" vertical="center"/>
    </xf>
    <xf numFmtId="179" fontId="10" fillId="53" borderId="25" xfId="0" applyNumberFormat="1" applyFont="1" applyFill="1" applyBorder="1" applyAlignment="1">
      <alignment horizontal="right" vertical="center"/>
    </xf>
    <xf numFmtId="179" fontId="10" fillId="53" borderId="26" xfId="0" applyNumberFormat="1" applyFont="1" applyFill="1" applyBorder="1" applyAlignment="1">
      <alignment horizontal="right" vertical="center"/>
    </xf>
    <xf numFmtId="179" fontId="4" fillId="53" borderId="26" xfId="0" applyNumberFormat="1" applyFont="1" applyFill="1" applyBorder="1" applyAlignment="1">
      <alignment horizontal="right" vertical="center"/>
    </xf>
    <xf numFmtId="179" fontId="4" fillId="53" borderId="24" xfId="0" applyNumberFormat="1" applyFont="1" applyFill="1" applyBorder="1" applyAlignment="1">
      <alignment horizontal="right" vertical="center"/>
    </xf>
    <xf numFmtId="179" fontId="4" fillId="53" borderId="27" xfId="0" applyNumberFormat="1" applyFont="1" applyFill="1" applyBorder="1" applyAlignment="1">
      <alignment horizontal="right" vertical="center"/>
    </xf>
    <xf numFmtId="179" fontId="4" fillId="53" borderId="0" xfId="0" applyNumberFormat="1" applyFont="1" applyFill="1" applyBorder="1" applyAlignment="1">
      <alignment horizontal="right" vertical="center"/>
    </xf>
    <xf numFmtId="179" fontId="4" fillId="53" borderId="18" xfId="0" applyNumberFormat="1" applyFont="1" applyFill="1" applyBorder="1" applyAlignment="1">
      <alignment horizontal="right" vertical="center"/>
    </xf>
    <xf numFmtId="179" fontId="4" fillId="53" borderId="17" xfId="0" applyNumberFormat="1" applyFont="1" applyFill="1" applyBorder="1" applyAlignment="1">
      <alignment horizontal="right" vertical="center"/>
    </xf>
    <xf numFmtId="179" fontId="3" fillId="0" borderId="27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9" fontId="16" fillId="0" borderId="0" xfId="140" applyNumberFormat="1" applyFont="1" applyFill="1" applyBorder="1" applyAlignment="1">
      <alignment vertical="center"/>
      <protection locked="0"/>
    </xf>
    <xf numFmtId="179" fontId="16" fillId="0" borderId="26" xfId="140" applyNumberFormat="1" applyFont="1" applyFill="1" applyBorder="1" applyAlignment="1">
      <alignment vertical="center"/>
      <protection locked="0"/>
    </xf>
    <xf numFmtId="179" fontId="16" fillId="0" borderId="23" xfId="140" applyNumberFormat="1" applyFont="1" applyFill="1" applyBorder="1" applyAlignment="1">
      <alignment vertical="center"/>
      <protection locked="0"/>
    </xf>
    <xf numFmtId="179" fontId="3" fillId="53" borderId="27" xfId="0" applyNumberFormat="1" applyFont="1" applyFill="1" applyBorder="1" applyAlignment="1">
      <alignment vertical="center"/>
    </xf>
    <xf numFmtId="179" fontId="3" fillId="53" borderId="0" xfId="0" applyNumberFormat="1" applyFont="1" applyFill="1" applyBorder="1" applyAlignment="1">
      <alignment vertical="center"/>
    </xf>
    <xf numFmtId="179" fontId="16" fillId="53" borderId="0" xfId="140" applyNumberFormat="1" applyFont="1" applyFill="1" applyBorder="1" applyAlignment="1">
      <alignment vertical="center"/>
      <protection locked="0"/>
    </xf>
    <xf numFmtId="179" fontId="16" fillId="53" borderId="24" xfId="140" applyNumberFormat="1" applyFont="1" applyFill="1" applyBorder="1" applyAlignment="1">
      <alignment vertical="center"/>
      <protection locked="0"/>
    </xf>
    <xf numFmtId="179" fontId="16" fillId="0" borderId="24" xfId="140" applyNumberFormat="1" applyFont="1" applyFill="1" applyBorder="1" applyAlignment="1">
      <alignment vertical="center"/>
      <protection locked="0"/>
    </xf>
    <xf numFmtId="179" fontId="16" fillId="0" borderId="39" xfId="140" applyNumberFormat="1" applyFont="1" applyFill="1" applyBorder="1" applyAlignment="1">
      <alignment vertical="center"/>
      <protection locked="0"/>
    </xf>
    <xf numFmtId="179" fontId="3" fillId="54" borderId="27" xfId="0" applyNumberFormat="1" applyFont="1" applyFill="1" applyBorder="1" applyAlignment="1">
      <alignment vertical="center"/>
    </xf>
    <xf numFmtId="179" fontId="3" fillId="54" borderId="0" xfId="0" applyNumberFormat="1" applyFont="1" applyFill="1" applyBorder="1" applyAlignment="1">
      <alignment vertical="center"/>
    </xf>
    <xf numFmtId="179" fontId="16" fillId="54" borderId="0" xfId="140" applyNumberFormat="1" applyFont="1" applyFill="1" applyBorder="1" applyAlignment="1">
      <alignment vertical="center"/>
      <protection locked="0"/>
    </xf>
    <xf numFmtId="179" fontId="16" fillId="54" borderId="24" xfId="140" applyNumberFormat="1" applyFont="1" applyFill="1" applyBorder="1" applyAlignment="1">
      <alignment vertical="center"/>
      <protection locked="0"/>
    </xf>
    <xf numFmtId="179" fontId="3" fillId="54" borderId="18" xfId="0" applyNumberFormat="1" applyFont="1" applyFill="1" applyBorder="1" applyAlignment="1">
      <alignment vertical="center"/>
    </xf>
    <xf numFmtId="179" fontId="3" fillId="54" borderId="17" xfId="0" applyNumberFormat="1" applyFont="1" applyFill="1" applyBorder="1" applyAlignment="1">
      <alignment vertical="center"/>
    </xf>
    <xf numFmtId="179" fontId="16" fillId="54" borderId="17" xfId="140" applyNumberFormat="1" applyFont="1" applyFill="1" applyBorder="1" applyAlignment="1">
      <alignment vertical="center"/>
      <protection locked="0"/>
    </xf>
    <xf numFmtId="179" fontId="16" fillId="54" borderId="19" xfId="140" applyNumberFormat="1" applyFont="1" applyFill="1" applyBorder="1" applyAlignment="1">
      <alignment vertical="center"/>
      <protection locked="0"/>
    </xf>
    <xf numFmtId="179" fontId="3" fillId="0" borderId="26" xfId="0" applyNumberFormat="1" applyFont="1" applyFill="1" applyBorder="1" applyAlignment="1">
      <alignment vertical="center"/>
    </xf>
    <xf numFmtId="179" fontId="3" fillId="0" borderId="18" xfId="0" applyNumberFormat="1" applyFont="1" applyFill="1" applyBorder="1" applyAlignment="1">
      <alignment vertical="center"/>
    </xf>
    <xf numFmtId="179" fontId="3" fillId="0" borderId="17" xfId="0" applyNumberFormat="1" applyFont="1" applyFill="1" applyBorder="1" applyAlignment="1">
      <alignment vertical="center"/>
    </xf>
    <xf numFmtId="179" fontId="16" fillId="0" borderId="17" xfId="140" applyNumberFormat="1" applyFont="1" applyFill="1" applyBorder="1" applyAlignment="1">
      <alignment vertical="center"/>
      <protection locked="0"/>
    </xf>
    <xf numFmtId="179" fontId="16" fillId="0" borderId="19" xfId="140" applyNumberFormat="1" applyFont="1" applyFill="1" applyBorder="1" applyAlignment="1">
      <alignment vertical="center"/>
      <protection locked="0"/>
    </xf>
    <xf numFmtId="0" fontId="3" fillId="54" borderId="0" xfId="0" applyFont="1" applyFill="1" applyBorder="1" applyAlignment="1">
      <alignment/>
    </xf>
    <xf numFmtId="1" fontId="3" fillId="54" borderId="0" xfId="0" applyNumberFormat="1" applyFont="1" applyFill="1" applyAlignment="1">
      <alignment/>
    </xf>
    <xf numFmtId="175" fontId="3" fillId="0" borderId="26" xfId="0" applyNumberFormat="1" applyFont="1" applyFill="1" applyBorder="1" applyAlignment="1">
      <alignment horizontal="right" vertical="center"/>
    </xf>
    <xf numFmtId="175" fontId="9" fillId="0" borderId="26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4" fillId="5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167" fontId="3" fillId="0" borderId="25" xfId="0" applyNumberFormat="1" applyFont="1" applyFill="1" applyBorder="1" applyAlignment="1">
      <alignment horizontal="right" vertical="center"/>
    </xf>
    <xf numFmtId="167" fontId="3" fillId="0" borderId="23" xfId="0" applyNumberFormat="1" applyFont="1" applyFill="1" applyBorder="1" applyAlignment="1">
      <alignment horizontal="right" vertical="center"/>
    </xf>
    <xf numFmtId="167" fontId="3" fillId="53" borderId="24" xfId="0" applyNumberFormat="1" applyFont="1" applyFill="1" applyBorder="1" applyAlignment="1">
      <alignment horizontal="right" vertical="center"/>
    </xf>
    <xf numFmtId="167" fontId="4" fillId="53" borderId="15" xfId="0" applyNumberFormat="1" applyFont="1" applyFill="1" applyBorder="1" applyAlignment="1">
      <alignment horizontal="right" vertical="center"/>
    </xf>
    <xf numFmtId="167" fontId="4" fillId="53" borderId="4" xfId="0" applyNumberFormat="1" applyFont="1" applyFill="1" applyBorder="1" applyAlignment="1">
      <alignment horizontal="right" vertical="center"/>
    </xf>
    <xf numFmtId="167" fontId="3" fillId="0" borderId="15" xfId="0" applyNumberFormat="1" applyFont="1" applyFill="1" applyBorder="1" applyAlignment="1">
      <alignment horizontal="right" vertical="center"/>
    </xf>
    <xf numFmtId="167" fontId="3" fillId="53" borderId="4" xfId="0" applyNumberFormat="1" applyFont="1" applyFill="1" applyBorder="1" applyAlignment="1">
      <alignment horizontal="right" vertical="center"/>
    </xf>
    <xf numFmtId="167" fontId="4" fillId="53" borderId="43" xfId="0" applyNumberFormat="1" applyFont="1" applyFill="1" applyBorder="1" applyAlignment="1">
      <alignment horizontal="right" vertical="center"/>
    </xf>
    <xf numFmtId="167" fontId="10" fillId="53" borderId="41" xfId="0" applyNumberFormat="1" applyFont="1" applyFill="1" applyBorder="1" applyAlignment="1">
      <alignment horizontal="right" vertical="center"/>
    </xf>
    <xf numFmtId="167" fontId="10" fillId="53" borderId="26" xfId="0" applyNumberFormat="1" applyFont="1" applyFill="1" applyBorder="1" applyAlignment="1">
      <alignment horizontal="right" vertical="center"/>
    </xf>
    <xf numFmtId="167" fontId="10" fillId="53" borderId="27" xfId="0" applyNumberFormat="1" applyFont="1" applyFill="1" applyBorder="1" applyAlignment="1">
      <alignment vertical="center"/>
    </xf>
    <xf numFmtId="167" fontId="4" fillId="53" borderId="0" xfId="0" applyNumberFormat="1" applyFont="1" applyFill="1" applyBorder="1" applyAlignment="1">
      <alignment vertical="center"/>
    </xf>
    <xf numFmtId="167" fontId="4" fillId="53" borderId="38" xfId="0" applyNumberFormat="1" applyFont="1" applyFill="1" applyBorder="1" applyAlignment="1">
      <alignment vertical="center"/>
    </xf>
    <xf numFmtId="167" fontId="10" fillId="53" borderId="39" xfId="0" applyNumberFormat="1" applyFont="1" applyFill="1" applyBorder="1" applyAlignment="1">
      <alignment vertical="center"/>
    </xf>
    <xf numFmtId="167" fontId="10" fillId="53" borderId="0" xfId="0" applyNumberFormat="1" applyFont="1" applyFill="1" applyBorder="1" applyAlignment="1">
      <alignment vertical="center"/>
    </xf>
    <xf numFmtId="167" fontId="4" fillId="53" borderId="18" xfId="0" applyNumberFormat="1" applyFont="1" applyFill="1" applyBorder="1" applyAlignment="1">
      <alignment vertical="center"/>
    </xf>
    <xf numFmtId="167" fontId="4" fillId="53" borderId="17" xfId="0" applyNumberFormat="1" applyFont="1" applyFill="1" applyBorder="1" applyAlignment="1">
      <alignment vertical="center"/>
    </xf>
    <xf numFmtId="167" fontId="10" fillId="53" borderId="17" xfId="0" applyNumberFormat="1" applyFont="1" applyFill="1" applyBorder="1" applyAlignment="1">
      <alignment vertical="center"/>
    </xf>
    <xf numFmtId="167" fontId="4" fillId="53" borderId="40" xfId="0" applyNumberFormat="1" applyFont="1" applyFill="1" applyBorder="1" applyAlignment="1">
      <alignment vertical="center"/>
    </xf>
    <xf numFmtId="167" fontId="4" fillId="53" borderId="44" xfId="0" applyNumberFormat="1" applyFont="1" applyFill="1" applyBorder="1" applyAlignment="1">
      <alignment vertical="center"/>
    </xf>
    <xf numFmtId="167" fontId="9" fillId="0" borderId="0" xfId="0" applyNumberFormat="1" applyFont="1" applyFill="1" applyBorder="1" applyAlignment="1">
      <alignment vertical="center"/>
    </xf>
    <xf numFmtId="167" fontId="3" fillId="53" borderId="27" xfId="0" applyNumberFormat="1" applyFont="1" applyFill="1" applyBorder="1" applyAlignment="1">
      <alignment vertical="center"/>
    </xf>
    <xf numFmtId="167" fontId="3" fillId="53" borderId="0" xfId="0" applyNumberFormat="1" applyFont="1" applyFill="1" applyBorder="1" applyAlignment="1">
      <alignment vertical="center"/>
    </xf>
    <xf numFmtId="167" fontId="3" fillId="0" borderId="27" xfId="0" applyNumberFormat="1" applyFont="1" applyFill="1" applyBorder="1" applyAlignment="1" quotePrefix="1">
      <alignment horizontal="right" vertical="center"/>
    </xf>
    <xf numFmtId="167" fontId="3" fillId="0" borderId="0" xfId="0" applyNumberFormat="1" applyFont="1" applyFill="1" applyBorder="1" applyAlignment="1" quotePrefix="1">
      <alignment horizontal="right" vertical="center"/>
    </xf>
    <xf numFmtId="167" fontId="3" fillId="0" borderId="39" xfId="0" applyNumberFormat="1" applyFont="1" applyFill="1" applyBorder="1" applyAlignment="1">
      <alignment vertical="center"/>
    </xf>
    <xf numFmtId="167" fontId="9" fillId="0" borderId="27" xfId="0" applyNumberFormat="1" applyFont="1" applyFill="1" applyBorder="1" applyAlignment="1">
      <alignment vertical="center"/>
    </xf>
    <xf numFmtId="167" fontId="3" fillId="0" borderId="38" xfId="0" applyNumberFormat="1" applyFont="1" applyFill="1" applyBorder="1" applyAlignment="1">
      <alignment vertical="center"/>
    </xf>
    <xf numFmtId="167" fontId="9" fillId="53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/>
    </xf>
    <xf numFmtId="167" fontId="9" fillId="0" borderId="0" xfId="0" applyNumberFormat="1" applyFont="1" applyFill="1" applyBorder="1" applyAlignment="1">
      <alignment/>
    </xf>
    <xf numFmtId="167" fontId="3" fillId="54" borderId="38" xfId="0" applyNumberFormat="1" applyFont="1" applyFill="1" applyBorder="1" applyAlignment="1">
      <alignment vertical="center"/>
    </xf>
    <xf numFmtId="167" fontId="9" fillId="54" borderId="0" xfId="0" applyNumberFormat="1" applyFont="1" applyFill="1" applyBorder="1" applyAlignment="1">
      <alignment vertical="center"/>
    </xf>
    <xf numFmtId="167" fontId="3" fillId="54" borderId="27" xfId="0" applyNumberFormat="1" applyFont="1" applyFill="1" applyBorder="1" applyAlignment="1" quotePrefix="1">
      <alignment horizontal="right" vertical="center"/>
    </xf>
    <xf numFmtId="167" fontId="3" fillId="54" borderId="0" xfId="0" applyNumberFormat="1" applyFont="1" applyFill="1" applyBorder="1" applyAlignment="1" quotePrefix="1">
      <alignment horizontal="right" vertical="center"/>
    </xf>
    <xf numFmtId="167" fontId="3" fillId="54" borderId="18" xfId="0" applyNumberFormat="1" applyFont="1" applyFill="1" applyBorder="1" applyAlignment="1">
      <alignment vertical="center"/>
    </xf>
    <xf numFmtId="167" fontId="3" fillId="54" borderId="17" xfId="0" applyNumberFormat="1" applyFont="1" applyFill="1" applyBorder="1" applyAlignment="1">
      <alignment vertical="center"/>
    </xf>
    <xf numFmtId="167" fontId="3" fillId="54" borderId="40" xfId="0" applyNumberFormat="1" applyFont="1" applyFill="1" applyBorder="1" applyAlignment="1">
      <alignment vertical="center"/>
    </xf>
    <xf numFmtId="167" fontId="3" fillId="0" borderId="18" xfId="0" applyNumberFormat="1" applyFont="1" applyFill="1" applyBorder="1" applyAlignment="1">
      <alignment horizontal="right" vertical="center"/>
    </xf>
    <xf numFmtId="167" fontId="10" fillId="53" borderId="23" xfId="0" applyNumberFormat="1" applyFont="1" applyFill="1" applyBorder="1" applyAlignment="1">
      <alignment horizontal="right" vertical="center"/>
    </xf>
    <xf numFmtId="167" fontId="10" fillId="53" borderId="24" xfId="0" applyNumberFormat="1" applyFont="1" applyFill="1" applyBorder="1" applyAlignment="1">
      <alignment vertical="center"/>
    </xf>
    <xf numFmtId="167" fontId="9" fillId="0" borderId="24" xfId="0" applyNumberFormat="1" applyFont="1" applyFill="1" applyBorder="1" applyAlignment="1">
      <alignment vertical="center"/>
    </xf>
    <xf numFmtId="167" fontId="3" fillId="53" borderId="24" xfId="0" applyNumberFormat="1" applyFont="1" applyFill="1" applyBorder="1" applyAlignment="1">
      <alignment vertical="center"/>
    </xf>
    <xf numFmtId="167" fontId="3" fillId="0" borderId="24" xfId="0" applyNumberFormat="1" applyFont="1" applyFill="1" applyBorder="1" applyAlignment="1">
      <alignment vertical="center"/>
    </xf>
    <xf numFmtId="167" fontId="9" fillId="53" borderId="24" xfId="0" applyNumberFormat="1" applyFont="1" applyFill="1" applyBorder="1" applyAlignment="1">
      <alignment vertical="center"/>
    </xf>
    <xf numFmtId="167" fontId="3" fillId="0" borderId="24" xfId="0" applyNumberFormat="1" applyFont="1" applyFill="1" applyBorder="1" applyAlignment="1">
      <alignment/>
    </xf>
    <xf numFmtId="167" fontId="3" fillId="54" borderId="24" xfId="0" applyNumberFormat="1" applyFont="1" applyFill="1" applyBorder="1" applyAlignment="1">
      <alignment vertical="center"/>
    </xf>
    <xf numFmtId="167" fontId="3" fillId="54" borderId="19" xfId="0" applyNumberFormat="1" applyFont="1" applyFill="1" applyBorder="1" applyAlignment="1">
      <alignment vertical="center"/>
    </xf>
    <xf numFmtId="167" fontId="3" fillId="0" borderId="19" xfId="0" applyNumberFormat="1" applyFont="1" applyFill="1" applyBorder="1" applyAlignment="1">
      <alignment vertical="center"/>
    </xf>
    <xf numFmtId="169" fontId="4" fillId="0" borderId="6" xfId="0" applyNumberFormat="1" applyFont="1" applyBorder="1" applyAlignment="1">
      <alignment horizontal="center"/>
    </xf>
    <xf numFmtId="167" fontId="10" fillId="53" borderId="43" xfId="0" applyNumberFormat="1" applyFont="1" applyFill="1" applyBorder="1" applyAlignment="1">
      <alignment horizontal="right" vertical="center"/>
    </xf>
    <xf numFmtId="167" fontId="10" fillId="53" borderId="38" xfId="0" applyNumberFormat="1" applyFont="1" applyFill="1" applyBorder="1" applyAlignment="1">
      <alignment vertical="center"/>
    </xf>
    <xf numFmtId="167" fontId="10" fillId="53" borderId="19" xfId="0" applyNumberFormat="1" applyFont="1" applyFill="1" applyBorder="1" applyAlignment="1">
      <alignment vertical="center"/>
    </xf>
    <xf numFmtId="167" fontId="3" fillId="0" borderId="25" xfId="0" applyNumberFormat="1" applyFont="1" applyFill="1" applyBorder="1" applyAlignment="1">
      <alignment vertical="center"/>
    </xf>
    <xf numFmtId="167" fontId="3" fillId="0" borderId="26" xfId="0" applyNumberFormat="1" applyFont="1" applyFill="1" applyBorder="1" applyAlignment="1">
      <alignment vertical="center"/>
    </xf>
    <xf numFmtId="167" fontId="9" fillId="0" borderId="26" xfId="0" applyNumberFormat="1" applyFont="1" applyFill="1" applyBorder="1" applyAlignment="1">
      <alignment vertical="center"/>
    </xf>
    <xf numFmtId="167" fontId="3" fillId="0" borderId="23" xfId="0" applyNumberFormat="1" applyFont="1" applyFill="1" applyBorder="1" applyAlignment="1">
      <alignment vertical="center"/>
    </xf>
    <xf numFmtId="167" fontId="3" fillId="0" borderId="24" xfId="0" applyNumberFormat="1" applyFont="1" applyFill="1" applyBorder="1" applyAlignment="1" quotePrefix="1">
      <alignment horizontal="right" vertical="center"/>
    </xf>
    <xf numFmtId="167" fontId="9" fillId="54" borderId="24" xfId="0" applyNumberFormat="1" applyFont="1" applyFill="1" applyBorder="1" applyAlignment="1">
      <alignment vertical="center"/>
    </xf>
    <xf numFmtId="167" fontId="3" fillId="54" borderId="24" xfId="0" applyNumberFormat="1" applyFont="1" applyFill="1" applyBorder="1" applyAlignment="1" quotePrefix="1">
      <alignment horizontal="right" vertical="center"/>
    </xf>
    <xf numFmtId="167" fontId="3" fillId="0" borderId="45" xfId="0" applyNumberFormat="1" applyFont="1" applyFill="1" applyBorder="1" applyAlignment="1">
      <alignment vertical="center"/>
    </xf>
    <xf numFmtId="167" fontId="3" fillId="54" borderId="17" xfId="0" applyNumberFormat="1" applyFont="1" applyFill="1" applyBorder="1" applyAlignment="1">
      <alignment horizontal="center"/>
    </xf>
    <xf numFmtId="167" fontId="3" fillId="54" borderId="46" xfId="0" applyNumberFormat="1" applyFont="1" applyFill="1" applyBorder="1" applyAlignment="1">
      <alignment horizontal="center"/>
    </xf>
    <xf numFmtId="167" fontId="4" fillId="54" borderId="47" xfId="0" applyNumberFormat="1" applyFont="1" applyFill="1" applyBorder="1" applyAlignment="1">
      <alignment horizontal="center" vertical="center"/>
    </xf>
    <xf numFmtId="167" fontId="9" fillId="54" borderId="17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 vertical="center"/>
    </xf>
    <xf numFmtId="167" fontId="3" fillId="0" borderId="48" xfId="0" applyNumberFormat="1" applyFont="1" applyFill="1" applyBorder="1" applyAlignment="1">
      <alignment horizontal="right" vertical="center"/>
    </xf>
    <xf numFmtId="171" fontId="3" fillId="0" borderId="26" xfId="0" applyNumberFormat="1" applyFont="1" applyFill="1" applyBorder="1" applyAlignment="1">
      <alignment vertical="center"/>
    </xf>
    <xf numFmtId="171" fontId="3" fillId="54" borderId="25" xfId="0" applyNumberFormat="1" applyFont="1" applyFill="1" applyBorder="1" applyAlignment="1" quotePrefix="1">
      <alignment horizontal="right" vertical="center"/>
    </xf>
    <xf numFmtId="171" fontId="3" fillId="54" borderId="26" xfId="0" applyNumberFormat="1" applyFont="1" applyFill="1" applyBorder="1" applyAlignment="1" quotePrefix="1">
      <alignment horizontal="right" vertical="center"/>
    </xf>
    <xf numFmtId="167" fontId="10" fillId="53" borderId="19" xfId="0" applyNumberFormat="1" applyFont="1" applyFill="1" applyBorder="1" applyAlignment="1">
      <alignment horizontal="right" vertical="center"/>
    </xf>
    <xf numFmtId="167" fontId="9" fillId="0" borderId="26" xfId="0" applyNumberFormat="1" applyFont="1" applyFill="1" applyBorder="1" applyAlignment="1">
      <alignment vertical="center"/>
    </xf>
    <xf numFmtId="167" fontId="9" fillId="0" borderId="23" xfId="0" applyNumberFormat="1" applyFont="1" applyFill="1" applyBorder="1" applyAlignment="1">
      <alignment vertical="center"/>
    </xf>
    <xf numFmtId="167" fontId="3" fillId="53" borderId="45" xfId="0" applyNumberFormat="1" applyFont="1" applyFill="1" applyBorder="1" applyAlignment="1">
      <alignment vertical="center"/>
    </xf>
    <xf numFmtId="167" fontId="9" fillId="53" borderId="0" xfId="0" applyNumberFormat="1" applyFont="1" applyFill="1" applyBorder="1" applyAlignment="1">
      <alignment horizontal="right" vertical="center"/>
    </xf>
    <xf numFmtId="167" fontId="9" fillId="53" borderId="24" xfId="0" applyNumberFormat="1" applyFont="1" applyFill="1" applyBorder="1" applyAlignment="1">
      <alignment horizontal="right" vertical="center"/>
    </xf>
    <xf numFmtId="167" fontId="3" fillId="54" borderId="45" xfId="0" applyNumberFormat="1" applyFont="1" applyFill="1" applyBorder="1" applyAlignment="1">
      <alignment vertical="center"/>
    </xf>
    <xf numFmtId="167" fontId="3" fillId="0" borderId="26" xfId="0" applyNumberFormat="1" applyFont="1" applyFill="1" applyBorder="1" applyAlignment="1">
      <alignment vertical="center"/>
    </xf>
    <xf numFmtId="167" fontId="3" fillId="0" borderId="26" xfId="0" applyNumberFormat="1" applyFont="1" applyFill="1" applyBorder="1" applyAlignment="1">
      <alignment horizontal="right" vertical="center"/>
    </xf>
    <xf numFmtId="167" fontId="3" fillId="54" borderId="26" xfId="0" applyNumberFormat="1" applyFont="1" applyFill="1" applyBorder="1" applyAlignment="1" quotePrefix="1">
      <alignment horizontal="right" vertical="center"/>
    </xf>
    <xf numFmtId="167" fontId="3" fillId="54" borderId="23" xfId="0" applyNumberFormat="1" applyFont="1" applyFill="1" applyBorder="1" applyAlignment="1" quotePrefix="1">
      <alignment horizontal="right" vertical="center"/>
    </xf>
    <xf numFmtId="167" fontId="3" fillId="54" borderId="26" xfId="0" applyNumberFormat="1" applyFont="1" applyFill="1" applyBorder="1" applyAlignment="1" quotePrefix="1">
      <alignment horizontal="right" vertical="center"/>
    </xf>
    <xf numFmtId="0" fontId="4" fillId="0" borderId="16" xfId="0" applyFont="1" applyFill="1" applyBorder="1" applyAlignment="1">
      <alignment horizontal="center"/>
    </xf>
    <xf numFmtId="168" fontId="3" fillId="0" borderId="19" xfId="0" applyNumberFormat="1" applyFont="1" applyFill="1" applyBorder="1" applyAlignment="1">
      <alignment horizontal="right"/>
    </xf>
    <xf numFmtId="169" fontId="3" fillId="0" borderId="18" xfId="0" applyNumberFormat="1" applyFont="1" applyFill="1" applyBorder="1" applyAlignment="1">
      <alignment horizontal="right"/>
    </xf>
    <xf numFmtId="169" fontId="3" fillId="0" borderId="19" xfId="0" applyNumberFormat="1" applyFont="1" applyFill="1" applyBorder="1" applyAlignment="1">
      <alignment horizontal="right"/>
    </xf>
    <xf numFmtId="167" fontId="3" fillId="55" borderId="26" xfId="0" applyNumberFormat="1" applyFont="1" applyFill="1" applyBorder="1" applyAlignment="1">
      <alignment horizontal="right"/>
    </xf>
    <xf numFmtId="167" fontId="3" fillId="54" borderId="0" xfId="0" applyNumberFormat="1" applyFont="1" applyFill="1" applyBorder="1" applyAlignment="1">
      <alignment horizontal="right"/>
    </xf>
    <xf numFmtId="167" fontId="3" fillId="55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167" fontId="3" fillId="54" borderId="17" xfId="0" applyNumberFormat="1" applyFont="1" applyFill="1" applyBorder="1" applyAlignment="1">
      <alignment horizontal="right"/>
    </xf>
    <xf numFmtId="167" fontId="3" fillId="0" borderId="17" xfId="0" applyNumberFormat="1" applyFont="1" applyFill="1" applyBorder="1" applyAlignment="1">
      <alignment horizontal="right"/>
    </xf>
    <xf numFmtId="167" fontId="3" fillId="54" borderId="0" xfId="0" applyNumberFormat="1" applyFont="1" applyFill="1" applyBorder="1" applyAlignment="1" quotePrefix="1">
      <alignment horizontal="right"/>
    </xf>
    <xf numFmtId="168" fontId="3" fillId="0" borderId="26" xfId="0" applyNumberFormat="1" applyFont="1" applyBorder="1" applyAlignment="1">
      <alignment vertical="center"/>
    </xf>
    <xf numFmtId="169" fontId="3" fillId="0" borderId="26" xfId="0" applyNumberFormat="1" applyFont="1" applyFill="1" applyBorder="1" applyAlignment="1">
      <alignment horizontal="right" vertical="center"/>
    </xf>
    <xf numFmtId="180" fontId="4" fillId="53" borderId="21" xfId="0" applyNumberFormat="1" applyFont="1" applyFill="1" applyBorder="1" applyAlignment="1">
      <alignment horizontal="right" vertical="center"/>
    </xf>
    <xf numFmtId="180" fontId="4" fillId="53" borderId="13" xfId="0" applyNumberFormat="1" applyFont="1" applyFill="1" applyBorder="1" applyAlignment="1">
      <alignment horizontal="right" vertical="center"/>
    </xf>
    <xf numFmtId="181" fontId="4" fillId="53" borderId="21" xfId="0" applyNumberFormat="1" applyFont="1" applyFill="1" applyBorder="1" applyAlignment="1">
      <alignment horizontal="right" vertical="center"/>
    </xf>
    <xf numFmtId="181" fontId="4" fillId="53" borderId="49" xfId="0" applyNumberFormat="1" applyFont="1" applyFill="1" applyBorder="1" applyAlignment="1">
      <alignment horizontal="right" vertical="center"/>
    </xf>
    <xf numFmtId="181" fontId="4" fillId="53" borderId="13" xfId="0" applyNumberFormat="1" applyFont="1" applyFill="1" applyBorder="1" applyAlignment="1">
      <alignment horizontal="right" vertical="center"/>
    </xf>
    <xf numFmtId="181" fontId="4" fillId="53" borderId="27" xfId="0" applyNumberFormat="1" applyFont="1" applyFill="1" applyBorder="1" applyAlignment="1">
      <alignment horizontal="right" vertical="center"/>
    </xf>
    <xf numFmtId="181" fontId="4" fillId="53" borderId="50" xfId="0" applyNumberFormat="1" applyFont="1" applyFill="1" applyBorder="1" applyAlignment="1">
      <alignment horizontal="right" vertical="center"/>
    </xf>
    <xf numFmtId="181" fontId="4" fillId="53" borderId="0" xfId="0" applyNumberFormat="1" applyFont="1" applyFill="1" applyBorder="1" applyAlignment="1">
      <alignment horizontal="right" vertical="center"/>
    </xf>
    <xf numFmtId="181" fontId="3" fillId="0" borderId="27" xfId="0" applyNumberFormat="1" applyFont="1" applyFill="1" applyBorder="1" applyAlignment="1">
      <alignment horizontal="right" vertical="center"/>
    </xf>
    <xf numFmtId="181" fontId="3" fillId="0" borderId="50" xfId="0" applyNumberFormat="1" applyFont="1" applyFill="1" applyBorder="1" applyAlignment="1">
      <alignment horizontal="right" vertical="center"/>
    </xf>
    <xf numFmtId="181" fontId="3" fillId="0" borderId="51" xfId="0" applyNumberFormat="1" applyFont="1" applyFill="1" applyBorder="1" applyAlignment="1">
      <alignment horizontal="right" vertical="center"/>
    </xf>
    <xf numFmtId="181" fontId="4" fillId="53" borderId="25" xfId="0" applyNumberFormat="1" applyFont="1" applyFill="1" applyBorder="1" applyAlignment="1">
      <alignment horizontal="right" vertical="center"/>
    </xf>
    <xf numFmtId="181" fontId="3" fillId="53" borderId="52" xfId="0" applyNumberFormat="1" applyFont="1" applyFill="1" applyBorder="1" applyAlignment="1">
      <alignment horizontal="right" vertical="center"/>
    </xf>
    <xf numFmtId="181" fontId="4" fillId="53" borderId="53" xfId="0" applyNumberFormat="1" applyFont="1" applyFill="1" applyBorder="1" applyAlignment="1">
      <alignment horizontal="right" vertical="center"/>
    </xf>
    <xf numFmtId="181" fontId="3" fillId="0" borderId="18" xfId="0" applyNumberFormat="1" applyFont="1" applyFill="1" applyBorder="1" applyAlignment="1">
      <alignment horizontal="right" vertical="center"/>
    </xf>
    <xf numFmtId="181" fontId="3" fillId="0" borderId="33" xfId="0" applyNumberFormat="1" applyFont="1" applyFill="1" applyBorder="1" applyAlignment="1">
      <alignment horizontal="right" vertical="center"/>
    </xf>
    <xf numFmtId="181" fontId="3" fillId="0" borderId="34" xfId="0" applyNumberFormat="1" applyFont="1" applyFill="1" applyBorder="1" applyAlignment="1">
      <alignment horizontal="right" vertical="center"/>
    </xf>
    <xf numFmtId="181" fontId="3" fillId="53" borderId="49" xfId="0" applyNumberFormat="1" applyFont="1" applyFill="1" applyBorder="1" applyAlignment="1">
      <alignment horizontal="right" vertical="center"/>
    </xf>
    <xf numFmtId="181" fontId="4" fillId="53" borderId="54" xfId="0" applyNumberFormat="1" applyFont="1" applyFill="1" applyBorder="1" applyAlignment="1">
      <alignment horizontal="right" vertical="center"/>
    </xf>
    <xf numFmtId="181" fontId="3" fillId="53" borderId="50" xfId="0" applyNumberFormat="1" applyFont="1" applyFill="1" applyBorder="1" applyAlignment="1">
      <alignment horizontal="right" vertical="center"/>
    </xf>
    <xf numFmtId="181" fontId="4" fillId="53" borderId="49" xfId="0" applyNumberFormat="1" applyFont="1" applyFill="1" applyBorder="1" applyAlignment="1">
      <alignment horizontal="center" vertical="center"/>
    </xf>
    <xf numFmtId="181" fontId="4" fillId="53" borderId="50" xfId="0" applyNumberFormat="1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horizontal="right" vertical="center"/>
    </xf>
    <xf numFmtId="181" fontId="9" fillId="0" borderId="0" xfId="0" applyNumberFormat="1" applyFont="1" applyFill="1" applyBorder="1" applyAlignment="1">
      <alignment horizontal="right" vertical="center"/>
    </xf>
    <xf numFmtId="181" fontId="4" fillId="53" borderId="26" xfId="0" applyNumberFormat="1" applyFont="1" applyFill="1" applyBorder="1" applyAlignment="1">
      <alignment horizontal="right" vertical="center"/>
    </xf>
    <xf numFmtId="181" fontId="3" fillId="53" borderId="26" xfId="0" applyNumberFormat="1" applyFont="1" applyFill="1" applyBorder="1" applyAlignment="1">
      <alignment horizontal="right" vertical="center"/>
    </xf>
    <xf numFmtId="181" fontId="3" fillId="0" borderId="17" xfId="0" applyNumberFormat="1" applyFont="1" applyFill="1" applyBorder="1" applyAlignment="1">
      <alignment horizontal="right" vertical="center"/>
    </xf>
    <xf numFmtId="181" fontId="3" fillId="53" borderId="13" xfId="0" applyNumberFormat="1" applyFont="1" applyFill="1" applyBorder="1" applyAlignment="1">
      <alignment horizontal="right" vertical="center"/>
    </xf>
    <xf numFmtId="181" fontId="3" fillId="53" borderId="0" xfId="0" applyNumberFormat="1" applyFont="1" applyFill="1" applyBorder="1" applyAlignment="1">
      <alignment horizontal="right" vertical="center"/>
    </xf>
    <xf numFmtId="167" fontId="3" fillId="53" borderId="26" xfId="0" applyNumberFormat="1" applyFont="1" applyFill="1" applyBorder="1" applyAlignment="1">
      <alignment horizontal="right" vertical="center"/>
    </xf>
    <xf numFmtId="167" fontId="3" fillId="0" borderId="50" xfId="0" applyNumberFormat="1" applyFont="1" applyFill="1" applyBorder="1" applyAlignment="1">
      <alignment horizontal="right" vertical="center"/>
    </xf>
    <xf numFmtId="167" fontId="3" fillId="0" borderId="51" xfId="0" applyNumberFormat="1" applyFont="1" applyFill="1" applyBorder="1" applyAlignment="1">
      <alignment horizontal="right" vertical="center"/>
    </xf>
    <xf numFmtId="167" fontId="3" fillId="0" borderId="33" xfId="0" applyNumberFormat="1" applyFont="1" applyFill="1" applyBorder="1" applyAlignment="1">
      <alignment horizontal="right" vertical="center"/>
    </xf>
    <xf numFmtId="167" fontId="3" fillId="0" borderId="34" xfId="0" applyNumberFormat="1" applyFont="1" applyFill="1" applyBorder="1" applyAlignment="1">
      <alignment horizontal="right" vertical="center"/>
    </xf>
    <xf numFmtId="1" fontId="4" fillId="52" borderId="26" xfId="0" applyNumberFormat="1" applyFont="1" applyFill="1" applyBorder="1" applyAlignment="1">
      <alignment horizontal="center"/>
    </xf>
    <xf numFmtId="167" fontId="4" fillId="54" borderId="26" xfId="0" applyNumberFormat="1" applyFont="1" applyFill="1" applyBorder="1" applyAlignment="1">
      <alignment horizontal="right"/>
    </xf>
    <xf numFmtId="167" fontId="3" fillId="54" borderId="26" xfId="0" applyNumberFormat="1" applyFont="1" applyFill="1" applyBorder="1" applyAlignment="1">
      <alignment horizontal="right" vertical="center"/>
    </xf>
    <xf numFmtId="166" fontId="4" fillId="54" borderId="26" xfId="0" applyNumberFormat="1" applyFont="1" applyFill="1" applyBorder="1" applyAlignment="1">
      <alignment horizontal="right"/>
    </xf>
    <xf numFmtId="166" fontId="3" fillId="54" borderId="26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horizontal="right" vertical="center"/>
    </xf>
    <xf numFmtId="183" fontId="3" fillId="54" borderId="0" xfId="0" applyNumberFormat="1" applyFont="1" applyFill="1" applyBorder="1" applyAlignment="1">
      <alignment horizontal="right" vertical="center"/>
    </xf>
    <xf numFmtId="182" fontId="3" fillId="54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5" fillId="0" borderId="0" xfId="0" applyFont="1" applyAlignment="1" quotePrefix="1">
      <alignment horizontal="right" vertical="top"/>
    </xf>
    <xf numFmtId="175" fontId="9" fillId="0" borderId="39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178" fontId="4" fillId="53" borderId="15" xfId="0" applyNumberFormat="1" applyFont="1" applyFill="1" applyBorder="1" applyAlignment="1" quotePrefix="1">
      <alignment horizontal="right" vertical="center"/>
    </xf>
    <xf numFmtId="178" fontId="4" fillId="53" borderId="16" xfId="0" applyNumberFormat="1" applyFont="1" applyFill="1" applyBorder="1" applyAlignment="1" quotePrefix="1">
      <alignment horizontal="right" vertical="center"/>
    </xf>
    <xf numFmtId="178" fontId="3" fillId="0" borderId="15" xfId="0" applyNumberFormat="1" applyFont="1" applyFill="1" applyBorder="1" applyAlignment="1" quotePrefix="1">
      <alignment horizontal="right" vertical="center"/>
    </xf>
    <xf numFmtId="178" fontId="3" fillId="0" borderId="4" xfId="0" applyNumberFormat="1" applyFont="1" applyFill="1" applyBorder="1" applyAlignment="1" quotePrefix="1">
      <alignment horizontal="right" vertical="center"/>
    </xf>
    <xf numFmtId="166" fontId="4" fillId="54" borderId="25" xfId="0" applyNumberFormat="1" applyFont="1" applyFill="1" applyBorder="1" applyAlignment="1">
      <alignment horizontal="right"/>
    </xf>
    <xf numFmtId="167" fontId="3" fillId="0" borderId="39" xfId="0" applyNumberFormat="1" applyFont="1" applyFill="1" applyBorder="1" applyAlignment="1">
      <alignment horizontal="right" vertical="center"/>
    </xf>
    <xf numFmtId="164" fontId="3" fillId="54" borderId="16" xfId="0" applyNumberFormat="1" applyFont="1" applyFill="1" applyBorder="1" applyAlignment="1">
      <alignment horizontal="right" vertical="center"/>
    </xf>
    <xf numFmtId="164" fontId="3" fillId="54" borderId="4" xfId="0" applyNumberFormat="1" applyFont="1" applyFill="1" applyBorder="1" applyAlignment="1">
      <alignment horizontal="right" vertical="center"/>
    </xf>
    <xf numFmtId="164" fontId="3" fillId="0" borderId="4" xfId="0" applyNumberFormat="1" applyFont="1" applyFill="1" applyBorder="1" applyAlignment="1">
      <alignment horizontal="right" vertical="center"/>
    </xf>
    <xf numFmtId="1" fontId="4" fillId="52" borderId="6" xfId="0" applyNumberFormat="1" applyFont="1" applyFill="1" applyBorder="1" applyAlignment="1">
      <alignment horizontal="center" vertical="center" wrapText="1"/>
    </xf>
    <xf numFmtId="169" fontId="4" fillId="53" borderId="15" xfId="115" applyNumberFormat="1" applyFont="1" applyFill="1" applyBorder="1" applyAlignment="1">
      <alignment horizontal="right" vertical="center"/>
    </xf>
    <xf numFmtId="169" fontId="4" fillId="53" borderId="4" xfId="115" applyNumberFormat="1" applyFont="1" applyFill="1" applyBorder="1" applyAlignment="1">
      <alignment horizontal="right" vertical="center"/>
    </xf>
    <xf numFmtId="169" fontId="4" fillId="53" borderId="16" xfId="115" applyNumberFormat="1" applyFont="1" applyFill="1" applyBorder="1" applyAlignment="1">
      <alignment horizontal="right" vertical="center"/>
    </xf>
    <xf numFmtId="169" fontId="3" fillId="0" borderId="15" xfId="115" applyNumberFormat="1" applyFont="1" applyFill="1" applyBorder="1" applyAlignment="1">
      <alignment horizontal="right" vertical="center"/>
    </xf>
    <xf numFmtId="169" fontId="3" fillId="53" borderId="4" xfId="115" applyNumberFormat="1" applyFont="1" applyFill="1" applyBorder="1" applyAlignment="1">
      <alignment horizontal="right" vertical="center"/>
    </xf>
    <xf numFmtId="169" fontId="3" fillId="0" borderId="4" xfId="115" applyNumberFormat="1" applyFont="1" applyFill="1" applyBorder="1" applyAlignment="1">
      <alignment horizontal="right" vertical="center"/>
    </xf>
    <xf numFmtId="169" fontId="3" fillId="54" borderId="4" xfId="115" applyNumberFormat="1" applyFont="1" applyFill="1" applyBorder="1" applyAlignment="1">
      <alignment horizontal="right" vertical="center"/>
    </xf>
    <xf numFmtId="169" fontId="3" fillId="54" borderId="16" xfId="115" applyNumberFormat="1" applyFont="1" applyFill="1" applyBorder="1" applyAlignment="1">
      <alignment horizontal="right" vertical="center"/>
    </xf>
    <xf numFmtId="169" fontId="3" fillId="0" borderId="16" xfId="115" applyNumberFormat="1" applyFont="1" applyFill="1" applyBorder="1" applyAlignment="1">
      <alignment horizontal="right" vertical="center"/>
    </xf>
    <xf numFmtId="178" fontId="4" fillId="53" borderId="4" xfId="0" applyNumberFormat="1" applyFont="1" applyFill="1" applyBorder="1" applyAlignment="1">
      <alignment horizontal="right" vertical="center"/>
    </xf>
    <xf numFmtId="178" fontId="4" fillId="53" borderId="16" xfId="0" applyNumberFormat="1" applyFont="1" applyFill="1" applyBorder="1" applyAlignment="1">
      <alignment horizontal="right" vertical="center"/>
    </xf>
    <xf numFmtId="178" fontId="9" fillId="0" borderId="4" xfId="0" applyNumberFormat="1" applyFont="1" applyFill="1" applyBorder="1" applyAlignment="1">
      <alignment horizontal="right" vertical="center"/>
    </xf>
    <xf numFmtId="185" fontId="3" fillId="54" borderId="0" xfId="0" applyNumberFormat="1" applyFont="1" applyFill="1" applyBorder="1" applyAlignment="1">
      <alignment horizontal="right" vertical="center"/>
    </xf>
    <xf numFmtId="0" fontId="4" fillId="52" borderId="26" xfId="0" applyFont="1" applyFill="1" applyBorder="1" applyAlignment="1">
      <alignment horizontal="center" vertical="center" wrapText="1"/>
    </xf>
    <xf numFmtId="0" fontId="4" fillId="52" borderId="0" xfId="0" applyFont="1" applyFill="1" applyBorder="1" applyAlignment="1">
      <alignment horizontal="center" vertical="center" wrapText="1"/>
    </xf>
    <xf numFmtId="0" fontId="4" fillId="52" borderId="23" xfId="0" applyFont="1" applyFill="1" applyBorder="1" applyAlignment="1">
      <alignment horizontal="center" vertical="center" wrapText="1"/>
    </xf>
    <xf numFmtId="0" fontId="4" fillId="52" borderId="2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4" fillId="52" borderId="0" xfId="0" applyFont="1" applyFill="1" applyBorder="1" applyAlignment="1">
      <alignment horizontal="center" vertical="center" wrapText="1"/>
    </xf>
    <xf numFmtId="169" fontId="16" fillId="0" borderId="15" xfId="140" applyNumberFormat="1" applyFont="1" applyFill="1" applyBorder="1" applyAlignment="1">
      <alignment horizontal="right" vertical="center"/>
      <protection locked="0"/>
    </xf>
    <xf numFmtId="169" fontId="16" fillId="54" borderId="4" xfId="140" applyNumberFormat="1" applyFont="1" applyFill="1" applyBorder="1" applyAlignment="1">
      <alignment horizontal="right" vertical="center"/>
      <protection locked="0"/>
    </xf>
    <xf numFmtId="169" fontId="16" fillId="0" borderId="24" xfId="140" applyNumberFormat="1" applyFont="1" applyFill="1" applyBorder="1" applyAlignment="1">
      <alignment horizontal="right" vertical="center"/>
      <protection locked="0"/>
    </xf>
    <xf numFmtId="169" fontId="16" fillId="53" borderId="24" xfId="140" applyNumberFormat="1" applyFont="1" applyFill="1" applyBorder="1" applyAlignment="1">
      <alignment horizontal="right" vertical="center"/>
      <protection locked="0"/>
    </xf>
    <xf numFmtId="169" fontId="16" fillId="54" borderId="24" xfId="140" applyNumberFormat="1" applyFont="1" applyFill="1" applyBorder="1" applyAlignment="1">
      <alignment horizontal="right" vertical="center"/>
      <protection locked="0"/>
    </xf>
    <xf numFmtId="169" fontId="16" fillId="0" borderId="4" xfId="140" applyNumberFormat="1" applyFont="1" applyFill="1" applyBorder="1" applyAlignment="1">
      <alignment horizontal="right" vertical="center"/>
      <protection locked="0"/>
    </xf>
    <xf numFmtId="169" fontId="16" fillId="54" borderId="19" xfId="140" applyNumberFormat="1" applyFont="1" applyFill="1" applyBorder="1" applyAlignment="1">
      <alignment horizontal="right" vertical="center"/>
      <protection locked="0"/>
    </xf>
    <xf numFmtId="169" fontId="16" fillId="0" borderId="23" xfId="140" applyNumberFormat="1" applyFont="1" applyFill="1" applyBorder="1" applyAlignment="1">
      <alignment horizontal="right" vertical="center"/>
      <protection locked="0"/>
    </xf>
    <xf numFmtId="169" fontId="16" fillId="0" borderId="19" xfId="140" applyNumberFormat="1" applyFont="1" applyFill="1" applyBorder="1" applyAlignment="1">
      <alignment horizontal="right" vertical="center"/>
      <protection locked="0"/>
    </xf>
    <xf numFmtId="169" fontId="4" fillId="53" borderId="4" xfId="0" applyNumberFormat="1" applyFont="1" applyFill="1" applyBorder="1" applyAlignment="1">
      <alignment vertical="center"/>
    </xf>
    <xf numFmtId="169" fontId="10" fillId="53" borderId="4" xfId="0" applyNumberFormat="1" applyFont="1" applyFill="1" applyBorder="1" applyAlignment="1">
      <alignment vertical="center"/>
    </xf>
    <xf numFmtId="169" fontId="16" fillId="54" borderId="4" xfId="140" applyNumberFormat="1" applyFont="1" applyFill="1" applyBorder="1" applyAlignment="1">
      <alignment vertical="center"/>
      <protection locked="0"/>
    </xf>
    <xf numFmtId="164" fontId="10" fillId="53" borderId="15" xfId="0" applyNumberFormat="1" applyFont="1" applyFill="1" applyBorder="1" applyAlignment="1">
      <alignment horizontal="right" vertical="center"/>
    </xf>
    <xf numFmtId="164" fontId="10" fillId="53" borderId="4" xfId="0" applyNumberFormat="1" applyFont="1" applyFill="1" applyBorder="1" applyAlignment="1">
      <alignment horizontal="right" vertical="center"/>
    </xf>
    <xf numFmtId="164" fontId="10" fillId="53" borderId="16" xfId="0" applyNumberFormat="1" applyFont="1" applyFill="1" applyBorder="1" applyAlignment="1">
      <alignment horizontal="right" vertical="center"/>
    </xf>
    <xf numFmtId="178" fontId="10" fillId="53" borderId="24" xfId="0" applyNumberFormat="1" applyFont="1" applyFill="1" applyBorder="1" applyAlignment="1">
      <alignment horizontal="right" vertical="center"/>
    </xf>
    <xf numFmtId="166" fontId="9" fillId="53" borderId="24" xfId="0" applyNumberFormat="1" applyFont="1" applyFill="1" applyBorder="1" applyAlignment="1">
      <alignment horizontal="right" vertical="center"/>
    </xf>
    <xf numFmtId="174" fontId="3" fillId="0" borderId="19" xfId="0" applyNumberFormat="1" applyFont="1" applyFill="1" applyBorder="1" applyAlignment="1">
      <alignment horizontal="center" vertical="center"/>
    </xf>
    <xf numFmtId="167" fontId="3" fillId="0" borderId="18" xfId="0" applyNumberFormat="1" applyFont="1" applyFill="1" applyBorder="1" applyAlignment="1">
      <alignment horizontal="center" vertical="center"/>
    </xf>
    <xf numFmtId="167" fontId="3" fillId="0" borderId="17" xfId="0" applyNumberFormat="1" applyFont="1" applyFill="1" applyBorder="1" applyAlignment="1">
      <alignment horizontal="center" vertical="center"/>
    </xf>
    <xf numFmtId="167" fontId="3" fillId="0" borderId="19" xfId="0" applyNumberFormat="1" applyFont="1" applyFill="1" applyBorder="1" applyAlignment="1">
      <alignment horizontal="center" vertical="center"/>
    </xf>
    <xf numFmtId="174" fontId="3" fillId="0" borderId="19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167" fontId="3" fillId="0" borderId="0" xfId="0" applyNumberFormat="1" applyFont="1" applyFill="1" applyAlignment="1">
      <alignment horizontal="right"/>
    </xf>
    <xf numFmtId="0" fontId="3" fillId="0" borderId="24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67" fontId="3" fillId="0" borderId="27" xfId="0" applyNumberFormat="1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1" fontId="4" fillId="52" borderId="23" xfId="0" applyNumberFormat="1" applyFont="1" applyFill="1" applyBorder="1" applyAlignment="1">
      <alignment horizontal="center" vertical="center"/>
    </xf>
    <xf numFmtId="167" fontId="3" fillId="53" borderId="39" xfId="0" applyNumberFormat="1" applyFont="1" applyFill="1" applyBorder="1" applyAlignment="1">
      <alignment vertical="center"/>
    </xf>
    <xf numFmtId="166" fontId="10" fillId="0" borderId="6" xfId="0" applyNumberFormat="1" applyFont="1" applyBorder="1" applyAlignment="1">
      <alignment/>
    </xf>
    <xf numFmtId="166" fontId="4" fillId="0" borderId="6" xfId="0" applyNumberFormat="1" applyFont="1" applyBorder="1" applyAlignment="1">
      <alignment/>
    </xf>
    <xf numFmtId="167" fontId="9" fillId="54" borderId="0" xfId="0" applyNumberFormat="1" applyFont="1" applyFill="1" applyBorder="1" applyAlignment="1" quotePrefix="1">
      <alignment horizontal="right" vertical="center"/>
    </xf>
    <xf numFmtId="167" fontId="9" fillId="54" borderId="24" xfId="0" applyNumberFormat="1" applyFont="1" applyFill="1" applyBorder="1" applyAlignment="1" quotePrefix="1">
      <alignment horizontal="right" vertical="center"/>
    </xf>
    <xf numFmtId="166" fontId="4" fillId="0" borderId="6" xfId="0" applyNumberFormat="1" applyFont="1" applyBorder="1" applyAlignment="1">
      <alignment horizontal="right"/>
    </xf>
    <xf numFmtId="167" fontId="3" fillId="0" borderId="0" xfId="0" applyNumberFormat="1" applyFont="1" applyAlignment="1">
      <alignment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5" fillId="0" borderId="0" xfId="0" applyFont="1" applyAlignment="1" quotePrefix="1">
      <alignment horizontal="right" vertical="top"/>
    </xf>
    <xf numFmtId="0" fontId="4" fillId="52" borderId="26" xfId="0" applyFont="1" applyFill="1" applyBorder="1" applyAlignment="1">
      <alignment horizontal="center" vertical="center" wrapText="1"/>
    </xf>
    <xf numFmtId="0" fontId="4" fillId="52" borderId="0" xfId="0" applyFont="1" applyFill="1" applyBorder="1" applyAlignment="1">
      <alignment horizontal="center" vertical="center" wrapText="1"/>
    </xf>
    <xf numFmtId="0" fontId="4" fillId="52" borderId="23" xfId="0" applyFont="1" applyFill="1" applyBorder="1" applyAlignment="1">
      <alignment horizontal="center" vertical="center" wrapText="1"/>
    </xf>
    <xf numFmtId="186" fontId="3" fillId="0" borderId="16" xfId="0" applyNumberFormat="1" applyFont="1" applyFill="1" applyBorder="1" applyAlignment="1">
      <alignment horizontal="right" vertical="center"/>
    </xf>
    <xf numFmtId="169" fontId="16" fillId="53" borderId="4" xfId="140" applyNumberFormat="1" applyFont="1" applyFill="1" applyBorder="1" applyAlignment="1">
      <alignment vertical="center"/>
      <protection locked="0"/>
    </xf>
    <xf numFmtId="0" fontId="0" fillId="0" borderId="0" xfId="0" applyAlignment="1">
      <alignment/>
    </xf>
    <xf numFmtId="166" fontId="3" fillId="0" borderId="39" xfId="0" applyNumberFormat="1" applyFont="1" applyFill="1" applyBorder="1" applyAlignment="1">
      <alignment horizontal="right" vertical="center"/>
    </xf>
    <xf numFmtId="178" fontId="3" fillId="0" borderId="0" xfId="0" applyNumberFormat="1" applyFont="1" applyBorder="1" applyAlignment="1">
      <alignment/>
    </xf>
    <xf numFmtId="164" fontId="27" fillId="0" borderId="0" xfId="90" applyNumberFormat="1" applyBorder="1">
      <alignment/>
      <protection/>
    </xf>
    <xf numFmtId="0" fontId="27" fillId="0" borderId="0" xfId="90" applyBorder="1">
      <alignment/>
      <protection/>
    </xf>
    <xf numFmtId="0" fontId="13" fillId="52" borderId="6" xfId="0" applyFont="1" applyFill="1" applyBorder="1" applyAlignment="1">
      <alignment horizontal="center" wrapText="1"/>
    </xf>
    <xf numFmtId="167" fontId="16" fillId="0" borderId="38" xfId="140" applyNumberFormat="1" applyFont="1" applyFill="1" applyBorder="1" applyAlignment="1">
      <alignment vertical="center"/>
      <protection locked="0"/>
    </xf>
    <xf numFmtId="0" fontId="0" fillId="0" borderId="0" xfId="0" applyAlignment="1">
      <alignment/>
    </xf>
    <xf numFmtId="166" fontId="3" fillId="54" borderId="24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175" fontId="3" fillId="53" borderId="24" xfId="0" applyNumberFormat="1" applyFont="1" applyFill="1" applyBorder="1" applyAlignment="1">
      <alignment horizontal="right" vertical="center"/>
    </xf>
    <xf numFmtId="175" fontId="3" fillId="0" borderId="24" xfId="0" applyNumberFormat="1" applyFont="1" applyFill="1" applyBorder="1" applyAlignment="1">
      <alignment horizontal="right" vertical="center"/>
    </xf>
    <xf numFmtId="187" fontId="3" fillId="0" borderId="17" xfId="0" applyNumberFormat="1" applyFont="1" applyFill="1" applyBorder="1" applyAlignment="1">
      <alignment horizontal="right" vertical="center"/>
    </xf>
    <xf numFmtId="178" fontId="0" fillId="0" borderId="0" xfId="90" applyNumberFormat="1" applyFont="1" applyFill="1" applyBorder="1" applyAlignment="1">
      <alignment/>
      <protection/>
    </xf>
    <xf numFmtId="0" fontId="3" fillId="0" borderId="0" xfId="0" applyFont="1" applyAlignment="1">
      <alignment/>
    </xf>
    <xf numFmtId="3" fontId="3" fillId="0" borderId="55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center" vertical="center"/>
    </xf>
    <xf numFmtId="175" fontId="3" fillId="0" borderId="19" xfId="0" applyNumberFormat="1" applyFont="1" applyFill="1" applyBorder="1" applyAlignment="1">
      <alignment horizontal="right" vertical="center"/>
    </xf>
    <xf numFmtId="175" fontId="3" fillId="0" borderId="56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top"/>
    </xf>
    <xf numFmtId="0" fontId="4" fillId="52" borderId="0" xfId="0" applyFont="1" applyFill="1" applyBorder="1" applyAlignment="1">
      <alignment horizontal="center" vertical="center" wrapText="1"/>
    </xf>
    <xf numFmtId="167" fontId="16" fillId="0" borderId="56" xfId="140" applyNumberFormat="1" applyFont="1" applyFill="1" applyBorder="1" applyAlignment="1">
      <alignment vertical="center"/>
      <protection locked="0"/>
    </xf>
    <xf numFmtId="167" fontId="4" fillId="53" borderId="57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164" fontId="4" fillId="53" borderId="4" xfId="0" applyNumberFormat="1" applyFont="1" applyFill="1" applyBorder="1" applyAlignment="1">
      <alignment horizontal="right" vertical="center"/>
    </xf>
    <xf numFmtId="189" fontId="3" fillId="54" borderId="0" xfId="0" applyNumberFormat="1" applyFont="1" applyFill="1" applyBorder="1" applyAlignment="1">
      <alignment horizontal="right" vertical="center"/>
    </xf>
    <xf numFmtId="187" fontId="3" fillId="54" borderId="0" xfId="0" applyNumberFormat="1" applyFont="1" applyFill="1" applyBorder="1" applyAlignment="1">
      <alignment horizontal="right" vertical="center"/>
    </xf>
    <xf numFmtId="167" fontId="4" fillId="0" borderId="18" xfId="0" applyNumberFormat="1" applyFont="1" applyFill="1" applyBorder="1" applyAlignment="1">
      <alignment horizontal="right" vertical="center"/>
    </xf>
    <xf numFmtId="1" fontId="4" fillId="52" borderId="26" xfId="0" applyNumberFormat="1" applyFont="1" applyFill="1" applyBorder="1" applyAlignment="1">
      <alignment horizontal="center" vertical="center"/>
    </xf>
    <xf numFmtId="167" fontId="3" fillId="54" borderId="39" xfId="0" applyNumberFormat="1" applyFont="1" applyFill="1" applyBorder="1" applyAlignment="1">
      <alignment vertical="center"/>
    </xf>
    <xf numFmtId="167" fontId="9" fillId="54" borderId="19" xfId="0" applyNumberFormat="1" applyFont="1" applyFill="1" applyBorder="1" applyAlignment="1">
      <alignment vertical="center"/>
    </xf>
    <xf numFmtId="167" fontId="3" fillId="54" borderId="56" xfId="0" applyNumberFormat="1" applyFont="1" applyFill="1" applyBorder="1" applyAlignment="1">
      <alignment vertical="center"/>
    </xf>
    <xf numFmtId="167" fontId="9" fillId="0" borderId="23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top" wrapText="1"/>
    </xf>
    <xf numFmtId="0" fontId="2" fillId="0" borderId="0" xfId="0" applyNumberFormat="1" applyFont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6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center" vertical="top"/>
    </xf>
    <xf numFmtId="0" fontId="4" fillId="0" borderId="26" xfId="0" applyFont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26" xfId="0" applyBorder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wrapText="1"/>
    </xf>
    <xf numFmtId="0" fontId="3" fillId="0" borderId="0" xfId="0" applyFont="1" applyAlignment="1">
      <alignment vertical="top" wrapText="1"/>
    </xf>
    <xf numFmtId="0" fontId="4" fillId="0" borderId="26" xfId="0" applyFont="1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7" fillId="0" borderId="0" xfId="0" applyFont="1" applyAlignment="1">
      <alignment horizontal="center" vertical="top"/>
    </xf>
    <xf numFmtId="0" fontId="4" fillId="52" borderId="25" xfId="0" applyFont="1" applyFill="1" applyBorder="1" applyAlignment="1">
      <alignment horizontal="center" vertical="center" wrapText="1"/>
    </xf>
    <xf numFmtId="0" fontId="4" fillId="52" borderId="26" xfId="0" applyFont="1" applyFill="1" applyBorder="1" applyAlignment="1">
      <alignment horizontal="center" vertical="center" wrapText="1"/>
    </xf>
    <xf numFmtId="0" fontId="4" fillId="52" borderId="23" xfId="0" applyFont="1" applyFill="1" applyBorder="1" applyAlignment="1">
      <alignment horizontal="center" vertical="center" wrapText="1"/>
    </xf>
    <xf numFmtId="0" fontId="4" fillId="52" borderId="27" xfId="0" applyFont="1" applyFill="1" applyBorder="1" applyAlignment="1" quotePrefix="1">
      <alignment horizontal="center" vertical="center" wrapText="1"/>
    </xf>
    <xf numFmtId="0" fontId="4" fillId="52" borderId="0" xfId="0" applyFont="1" applyFill="1" applyBorder="1" applyAlignment="1" quotePrefix="1">
      <alignment horizontal="center" vertical="center" wrapText="1"/>
    </xf>
    <xf numFmtId="0" fontId="4" fillId="52" borderId="24" xfId="0" applyFont="1" applyFill="1" applyBorder="1" applyAlignment="1" quotePrefix="1">
      <alignment horizontal="center" vertical="center" wrapText="1"/>
    </xf>
    <xf numFmtId="0" fontId="4" fillId="52" borderId="0" xfId="0" applyFont="1" applyFill="1" applyBorder="1" applyAlignment="1">
      <alignment horizontal="center" vertical="center" wrapText="1"/>
    </xf>
    <xf numFmtId="0" fontId="4" fillId="52" borderId="2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26" xfId="0" applyFont="1" applyBorder="1" applyAlignment="1">
      <alignment horizontal="left" wrapText="1"/>
    </xf>
    <xf numFmtId="170" fontId="4" fillId="52" borderId="18" xfId="0" applyNumberFormat="1" applyFont="1" applyFill="1" applyBorder="1" applyAlignment="1">
      <alignment horizontal="center" vertical="center"/>
    </xf>
    <xf numFmtId="170" fontId="4" fillId="52" borderId="17" xfId="0" applyNumberFormat="1" applyFont="1" applyFill="1" applyBorder="1" applyAlignment="1">
      <alignment horizontal="center" vertical="center"/>
    </xf>
    <xf numFmtId="170" fontId="4" fillId="52" borderId="19" xfId="0" applyNumberFormat="1" applyFont="1" applyFill="1" applyBorder="1" applyAlignment="1">
      <alignment horizontal="center" vertical="center"/>
    </xf>
    <xf numFmtId="0" fontId="14" fillId="0" borderId="0" xfId="0" applyFont="1" applyAlignment="1" quotePrefix="1">
      <alignment horizontal="left"/>
    </xf>
    <xf numFmtId="0" fontId="4" fillId="52" borderId="4" xfId="0" applyFont="1" applyFill="1" applyBorder="1" applyAlignment="1">
      <alignment horizontal="center" vertical="top" wrapText="1"/>
    </xf>
    <xf numFmtId="0" fontId="4" fillId="52" borderId="16" xfId="0" applyFont="1" applyFill="1" applyBorder="1" applyAlignment="1">
      <alignment horizontal="center" vertical="top" wrapText="1"/>
    </xf>
    <xf numFmtId="0" fontId="5" fillId="0" borderId="0" xfId="0" applyFont="1" applyAlignment="1" quotePrefix="1">
      <alignment horizontal="right" vertical="top"/>
    </xf>
    <xf numFmtId="0" fontId="7" fillId="52" borderId="25" xfId="0" applyFont="1" applyFill="1" applyBorder="1" applyAlignment="1">
      <alignment horizontal="center" vertical="center" wrapText="1"/>
    </xf>
    <xf numFmtId="0" fontId="7" fillId="52" borderId="26" xfId="0" applyFont="1" applyFill="1" applyBorder="1" applyAlignment="1">
      <alignment horizontal="center" vertical="center" wrapText="1"/>
    </xf>
    <xf numFmtId="0" fontId="7" fillId="52" borderId="26" xfId="0" applyFont="1" applyFill="1" applyBorder="1" applyAlignment="1">
      <alignment horizontal="center" vertical="center" wrapText="1"/>
    </xf>
    <xf numFmtId="0" fontId="7" fillId="52" borderId="23" xfId="0" applyFont="1" applyFill="1" applyBorder="1" applyAlignment="1">
      <alignment horizontal="center" vertical="center" wrapText="1"/>
    </xf>
    <xf numFmtId="0" fontId="4" fillId="52" borderId="18" xfId="0" applyFont="1" applyFill="1" applyBorder="1" applyAlignment="1">
      <alignment horizontal="center" vertical="center" wrapText="1"/>
    </xf>
    <xf numFmtId="0" fontId="4" fillId="52" borderId="17" xfId="0" applyFont="1" applyFill="1" applyBorder="1" applyAlignment="1">
      <alignment horizontal="center" vertical="center" wrapText="1"/>
    </xf>
    <xf numFmtId="0" fontId="4" fillId="52" borderId="19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7" fillId="0" borderId="17" xfId="0" applyFont="1" applyFill="1" applyBorder="1" applyAlignment="1">
      <alignment horizontal="center" vertical="center" wrapText="1"/>
    </xf>
    <xf numFmtId="0" fontId="4" fillId="52" borderId="18" xfId="0" applyFont="1" applyFill="1" applyBorder="1" applyAlignment="1">
      <alignment horizontal="center" vertical="top"/>
    </xf>
    <xf numFmtId="0" fontId="4" fillId="52" borderId="33" xfId="0" applyFont="1" applyFill="1" applyBorder="1" applyAlignment="1">
      <alignment horizontal="center" vertical="top"/>
    </xf>
    <xf numFmtId="0" fontId="4" fillId="52" borderId="34" xfId="0" applyFont="1" applyFill="1" applyBorder="1" applyAlignment="1">
      <alignment horizontal="center" vertical="top" wrapText="1"/>
    </xf>
    <xf numFmtId="0" fontId="4" fillId="52" borderId="33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17" fontId="3" fillId="0" borderId="0" xfId="0" applyNumberFormat="1" applyFont="1" applyFill="1" applyBorder="1" applyAlignment="1">
      <alignment horizontal="center" vertical="center"/>
    </xf>
    <xf numFmtId="17" fontId="3" fillId="0" borderId="0" xfId="0" applyNumberFormat="1" applyFont="1" applyFill="1" applyBorder="1" applyAlignment="1" quotePrefix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4" fillId="52" borderId="25" xfId="0" applyFont="1" applyFill="1" applyBorder="1" applyAlignment="1">
      <alignment horizontal="center" vertical="center"/>
    </xf>
    <xf numFmtId="0" fontId="4" fillId="52" borderId="26" xfId="0" applyFont="1" applyFill="1" applyBorder="1" applyAlignment="1">
      <alignment horizontal="center" vertical="center"/>
    </xf>
    <xf numFmtId="0" fontId="4" fillId="52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vertical="top" wrapText="1"/>
    </xf>
    <xf numFmtId="0" fontId="4" fillId="52" borderId="15" xfId="0" applyFont="1" applyFill="1" applyBorder="1" applyAlignment="1">
      <alignment horizontal="center" vertical="top" wrapText="1"/>
    </xf>
    <xf numFmtId="0" fontId="4" fillId="52" borderId="25" xfId="0" applyFont="1" applyFill="1" applyBorder="1" applyAlignment="1">
      <alignment horizontal="center" vertical="top" wrapText="1"/>
    </xf>
    <xf numFmtId="0" fontId="4" fillId="52" borderId="2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17" fontId="15" fillId="0" borderId="0" xfId="0" applyNumberFormat="1" applyFont="1" applyBorder="1" applyAlignment="1">
      <alignment horizontal="center" vertical="center"/>
    </xf>
    <xf numFmtId="17" fontId="15" fillId="0" borderId="0" xfId="0" applyNumberFormat="1" applyFont="1" applyBorder="1" applyAlignment="1" quotePrefix="1">
      <alignment horizontal="center" vertical="center"/>
    </xf>
    <xf numFmtId="0" fontId="4" fillId="52" borderId="27" xfId="0" applyFont="1" applyFill="1" applyBorder="1" applyAlignment="1">
      <alignment horizontal="center" vertical="top" wrapText="1"/>
    </xf>
    <xf numFmtId="0" fontId="4" fillId="52" borderId="24" xfId="0" applyFont="1" applyFill="1" applyBorder="1" applyAlignment="1">
      <alignment horizontal="center" vertical="top" wrapText="1"/>
    </xf>
    <xf numFmtId="0" fontId="4" fillId="52" borderId="18" xfId="0" applyFont="1" applyFill="1" applyBorder="1" applyAlignment="1">
      <alignment horizontal="center" vertical="top" wrapText="1"/>
    </xf>
    <xf numFmtId="0" fontId="4" fillId="52" borderId="19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0" fontId="0" fillId="0" borderId="0" xfId="0" applyAlignment="1">
      <alignment vertical="top"/>
    </xf>
  </cellXfs>
  <cellStyles count="138">
    <cellStyle name="Normal" xfId="0"/>
    <cellStyle name="20% - Accent1" xfId="15"/>
    <cellStyle name="20% - Accent1 2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1 2" xfId="35"/>
    <cellStyle name="Accent2" xfId="36"/>
    <cellStyle name="Accent2 2" xfId="37"/>
    <cellStyle name="Accent3" xfId="38"/>
    <cellStyle name="Accent3 2" xfId="39"/>
    <cellStyle name="Accent4" xfId="40"/>
    <cellStyle name="Accent4 2" xfId="41"/>
    <cellStyle name="Accent5" xfId="42"/>
    <cellStyle name="Accent5 2" xfId="43"/>
    <cellStyle name="Accent6" xfId="44"/>
    <cellStyle name="Accent6 2" xfId="45"/>
    <cellStyle name="Bad" xfId="46"/>
    <cellStyle name="Calculation" xfId="47"/>
    <cellStyle name="cells" xfId="48"/>
    <cellStyle name="Check Cell" xfId="49"/>
    <cellStyle name="coin" xfId="50"/>
    <cellStyle name="column field" xfId="51"/>
    <cellStyle name="Comma" xfId="52"/>
    <cellStyle name="Comma [0]" xfId="53"/>
    <cellStyle name="Comma 2" xfId="54"/>
    <cellStyle name="Comma 3" xfId="55"/>
    <cellStyle name="contenu_unite" xfId="56"/>
    <cellStyle name="Currency" xfId="57"/>
    <cellStyle name="Currency [0]" xfId="58"/>
    <cellStyle name="Detail ligne" xfId="59"/>
    <cellStyle name="donn_normal" xfId="60"/>
    <cellStyle name="donnnormal1" xfId="61"/>
    <cellStyle name="donntotal1" xfId="62"/>
    <cellStyle name="ent_col_ser" xfId="63"/>
    <cellStyle name="entete_indice" xfId="64"/>
    <cellStyle name="Explanatory Text" xfId="65"/>
    <cellStyle name="field" xfId="66"/>
    <cellStyle name="field names" xfId="67"/>
    <cellStyle name="Följde hyperlänken" xfId="68"/>
    <cellStyle name="footer" xfId="69"/>
    <cellStyle name="Good" xfId="70"/>
    <cellStyle name="heading" xfId="71"/>
    <cellStyle name="Heading 1" xfId="72"/>
    <cellStyle name="Heading 2" xfId="73"/>
    <cellStyle name="Heading 3" xfId="74"/>
    <cellStyle name="Heading 4" xfId="75"/>
    <cellStyle name="Hyperlänk 2" xfId="76"/>
    <cellStyle name="Hyperlink 2" xfId="77"/>
    <cellStyle name="Hyperlink 3" xfId="78"/>
    <cellStyle name="Identification requete" xfId="79"/>
    <cellStyle name="Input" xfId="80"/>
    <cellStyle name="Ligne détail" xfId="81"/>
    <cellStyle name="Ligne détail 2" xfId="82"/>
    <cellStyle name="ligne_titre_0" xfId="83"/>
    <cellStyle name="Linked Cell" xfId="84"/>
    <cellStyle name="MEV1" xfId="85"/>
    <cellStyle name="MEV2" xfId="86"/>
    <cellStyle name="Neutral" xfId="87"/>
    <cellStyle name="Normal 10" xfId="88"/>
    <cellStyle name="Normal 11" xfId="89"/>
    <cellStyle name="Normal 2" xfId="90"/>
    <cellStyle name="Normal 2 2" xfId="91"/>
    <cellStyle name="Normal 2 3" xfId="92"/>
    <cellStyle name="Normal 2 3 2" xfId="93"/>
    <cellStyle name="Normal 2 4" xfId="94"/>
    <cellStyle name="Normal 3" xfId="95"/>
    <cellStyle name="Normal 3 2" xfId="96"/>
    <cellStyle name="Normal 3 2 2" xfId="97"/>
    <cellStyle name="Normal 3 3" xfId="98"/>
    <cellStyle name="Normal 3 4" xfId="99"/>
    <cellStyle name="Normal 4" xfId="100"/>
    <cellStyle name="Normal 4 2" xfId="101"/>
    <cellStyle name="Normal 5" xfId="102"/>
    <cellStyle name="Normal 6" xfId="103"/>
    <cellStyle name="Normal 6 2" xfId="104"/>
    <cellStyle name="Normal 7" xfId="105"/>
    <cellStyle name="Normal 8" xfId="106"/>
    <cellStyle name="Normal 9" xfId="107"/>
    <cellStyle name="Normál_t6" xfId="108"/>
    <cellStyle name="Note" xfId="109"/>
    <cellStyle name="Note 2" xfId="110"/>
    <cellStyle name="Note 3" xfId="111"/>
    <cellStyle name="notice_theme" xfId="112"/>
    <cellStyle name="num_note" xfId="113"/>
    <cellStyle name="Output" xfId="114"/>
    <cellStyle name="Percent" xfId="115"/>
    <cellStyle name="Percent 2" xfId="116"/>
    <cellStyle name="Procent 2" xfId="117"/>
    <cellStyle name="Resultat" xfId="118"/>
    <cellStyle name="rowfield" xfId="119"/>
    <cellStyle name="source" xfId="120"/>
    <cellStyle name="source 2" xfId="121"/>
    <cellStyle name="Standard_E00seit45" xfId="122"/>
    <cellStyle name="Test" xfId="123"/>
    <cellStyle name="Title" xfId="124"/>
    <cellStyle name="Title 2" xfId="125"/>
    <cellStyle name="Titre colonne" xfId="126"/>
    <cellStyle name="Titre colonnes" xfId="127"/>
    <cellStyle name="Titre colonnes 2" xfId="128"/>
    <cellStyle name="Titre general" xfId="129"/>
    <cellStyle name="Titre général" xfId="130"/>
    <cellStyle name="Titre ligne" xfId="131"/>
    <cellStyle name="Titre ligne 2" xfId="132"/>
    <cellStyle name="Titre lignes" xfId="133"/>
    <cellStyle name="Titre lignes 2" xfId="134"/>
    <cellStyle name="Titre tableau" xfId="135"/>
    <cellStyle name="Total" xfId="136"/>
    <cellStyle name="Total 2" xfId="137"/>
    <cellStyle name="Total 3" xfId="138"/>
    <cellStyle name="Total 4" xfId="139"/>
    <cellStyle name="Total intermediaire" xfId="140"/>
    <cellStyle name="Total intermediaire 0" xfId="141"/>
    <cellStyle name="Total intermediaire 1" xfId="142"/>
    <cellStyle name="Total intermediaire 2" xfId="143"/>
    <cellStyle name="Total intermediaire 3" xfId="144"/>
    <cellStyle name="Total intermediaire 4" xfId="145"/>
    <cellStyle name="Total intermediaire 5" xfId="146"/>
    <cellStyle name="Total tableau" xfId="147"/>
    <cellStyle name="Tusental 2" xfId="148"/>
    <cellStyle name="Virgül [0]_08-01" xfId="149"/>
    <cellStyle name="Virgül_08-01" xfId="150"/>
    <cellStyle name="Warning Text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41"/>
  <dimension ref="B1:D60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1" width="0.85546875" style="118" customWidth="1"/>
    <col min="2" max="2" width="7.7109375" style="120" customWidth="1"/>
    <col min="3" max="3" width="2.00390625" style="121" customWidth="1"/>
    <col min="4" max="4" width="65.8515625" style="118" customWidth="1"/>
    <col min="5" max="16384" width="9.140625" style="118" customWidth="1"/>
  </cols>
  <sheetData>
    <row r="1" spans="2:4" ht="19.5" customHeight="1">
      <c r="B1" s="1017" t="s">
        <v>114</v>
      </c>
      <c r="C1" s="1017"/>
      <c r="D1" s="1017"/>
    </row>
    <row r="2" spans="2:4" ht="19.5" customHeight="1">
      <c r="B2" s="1018" t="s">
        <v>115</v>
      </c>
      <c r="C2" s="1018"/>
      <c r="D2" s="1018"/>
    </row>
    <row r="3" spans="2:4" ht="19.5" customHeight="1">
      <c r="B3" s="1019" t="s">
        <v>141</v>
      </c>
      <c r="C3" s="1019"/>
      <c r="D3" s="1019"/>
    </row>
    <row r="4" spans="2:4" ht="19.5" customHeight="1">
      <c r="B4" s="1020" t="s">
        <v>131</v>
      </c>
      <c r="C4" s="1020"/>
      <c r="D4" s="1020"/>
    </row>
    <row r="5" spans="2:4" ht="19.5" customHeight="1">
      <c r="B5" s="119"/>
      <c r="C5" s="119"/>
      <c r="D5" s="119"/>
    </row>
    <row r="6" ht="19.5" customHeight="1"/>
    <row r="7" spans="2:4" ht="19.5" customHeight="1">
      <c r="B7" s="1017" t="s">
        <v>142</v>
      </c>
      <c r="C7" s="1017"/>
      <c r="D7" s="1017"/>
    </row>
    <row r="8" spans="2:4" ht="19.5" customHeight="1">
      <c r="B8" s="1016">
        <v>2017</v>
      </c>
      <c r="C8" s="1016"/>
      <c r="D8" s="1016"/>
    </row>
    <row r="9" spans="2:4" ht="19.5" customHeight="1">
      <c r="B9" s="122"/>
      <c r="C9" s="122"/>
      <c r="D9" s="122"/>
    </row>
    <row r="10" spans="2:4" ht="19.5" customHeight="1">
      <c r="B10" s="1021" t="s">
        <v>143</v>
      </c>
      <c r="C10" s="1021"/>
      <c r="D10" s="1021"/>
    </row>
    <row r="11" ht="19.5" customHeight="1">
      <c r="B11" s="123"/>
    </row>
    <row r="12" spans="2:4" ht="19.5" customHeight="1">
      <c r="B12" s="1015" t="s">
        <v>144</v>
      </c>
      <c r="C12" s="1015"/>
      <c r="D12" s="1015"/>
    </row>
    <row r="13" spans="2:4" ht="19.5" customHeight="1">
      <c r="B13" s="1015" t="s">
        <v>116</v>
      </c>
      <c r="C13" s="1015"/>
      <c r="D13" s="1015"/>
    </row>
    <row r="14" spans="2:4" ht="19.5" customHeight="1">
      <c r="B14" s="123"/>
      <c r="D14"/>
    </row>
    <row r="15" ht="19.5" customHeight="1">
      <c r="B15" s="123"/>
    </row>
    <row r="16" spans="2:4" ht="15" customHeight="1">
      <c r="B16" s="124" t="s">
        <v>145</v>
      </c>
      <c r="C16" s="125"/>
      <c r="D16" s="126" t="s">
        <v>146</v>
      </c>
    </row>
    <row r="17" spans="2:4" ht="15" customHeight="1">
      <c r="B17" s="124" t="s">
        <v>147</v>
      </c>
      <c r="C17" s="127"/>
      <c r="D17" s="126" t="s">
        <v>117</v>
      </c>
    </row>
    <row r="18" spans="2:4" ht="15" customHeight="1">
      <c r="B18" s="124" t="s">
        <v>148</v>
      </c>
      <c r="C18" s="127"/>
      <c r="D18" s="126" t="s">
        <v>118</v>
      </c>
    </row>
    <row r="19" spans="2:4" ht="15" customHeight="1">
      <c r="B19" s="124" t="s">
        <v>149</v>
      </c>
      <c r="C19" s="125"/>
      <c r="D19" s="128" t="s">
        <v>119</v>
      </c>
    </row>
    <row r="20" spans="2:4" ht="15" customHeight="1">
      <c r="B20" s="124" t="s">
        <v>150</v>
      </c>
      <c r="C20" s="125"/>
      <c r="D20" s="126" t="s">
        <v>120</v>
      </c>
    </row>
    <row r="21" spans="2:4" ht="15" customHeight="1">
      <c r="B21" s="124" t="s">
        <v>151</v>
      </c>
      <c r="C21" s="125"/>
      <c r="D21" s="126" t="s">
        <v>121</v>
      </c>
    </row>
    <row r="22" spans="2:4" ht="15" customHeight="1">
      <c r="B22" s="124" t="s">
        <v>152</v>
      </c>
      <c r="C22" s="129"/>
      <c r="D22" s="126" t="s">
        <v>122</v>
      </c>
    </row>
    <row r="23" spans="2:4" ht="15" customHeight="1">
      <c r="B23" s="124" t="s">
        <v>153</v>
      </c>
      <c r="C23" s="129"/>
      <c r="D23" s="126" t="s">
        <v>123</v>
      </c>
    </row>
    <row r="24" spans="2:4" ht="15" customHeight="1">
      <c r="B24" s="124" t="s">
        <v>154</v>
      </c>
      <c r="C24" s="125"/>
      <c r="D24" s="126" t="s">
        <v>124</v>
      </c>
    </row>
    <row r="25" spans="2:4" ht="15" customHeight="1">
      <c r="B25" s="124" t="s">
        <v>155</v>
      </c>
      <c r="C25" s="125"/>
      <c r="D25" s="126" t="s">
        <v>125</v>
      </c>
    </row>
    <row r="26" spans="2:4" ht="15" customHeight="1">
      <c r="B26" s="124" t="s">
        <v>156</v>
      </c>
      <c r="C26" s="130"/>
      <c r="D26" s="128" t="s">
        <v>126</v>
      </c>
    </row>
    <row r="27" spans="2:4" ht="15" customHeight="1">
      <c r="B27" s="124" t="s">
        <v>157</v>
      </c>
      <c r="C27" s="130"/>
      <c r="D27" s="128" t="s">
        <v>127</v>
      </c>
    </row>
    <row r="28" spans="2:4" ht="15" customHeight="1">
      <c r="B28" s="124" t="s">
        <v>158</v>
      </c>
      <c r="C28" s="130"/>
      <c r="D28" s="128" t="s">
        <v>128</v>
      </c>
    </row>
    <row r="29" spans="2:4" ht="15" customHeight="1">
      <c r="B29" s="124" t="s">
        <v>159</v>
      </c>
      <c r="C29" s="129"/>
      <c r="D29" s="126" t="s">
        <v>160</v>
      </c>
    </row>
    <row r="30" spans="2:4" ht="15" customHeight="1">
      <c r="B30" s="124" t="s">
        <v>161</v>
      </c>
      <c r="C30" s="129"/>
      <c r="D30" s="126" t="s">
        <v>162</v>
      </c>
    </row>
    <row r="31" spans="2:4" ht="15" customHeight="1">
      <c r="B31" s="124" t="s">
        <v>163</v>
      </c>
      <c r="C31" s="125"/>
      <c r="D31" s="126" t="s">
        <v>164</v>
      </c>
    </row>
    <row r="32" spans="2:4" ht="15" customHeight="1">
      <c r="B32" s="124" t="s">
        <v>165</v>
      </c>
      <c r="C32" s="125"/>
      <c r="D32" s="126" t="s">
        <v>129</v>
      </c>
    </row>
    <row r="33" spans="2:4" ht="15" customHeight="1">
      <c r="B33" s="124" t="s">
        <v>166</v>
      </c>
      <c r="C33" s="125"/>
      <c r="D33" s="126" t="s">
        <v>130</v>
      </c>
    </row>
    <row r="34" ht="12.75">
      <c r="B34" s="123"/>
    </row>
    <row r="35" ht="12.75">
      <c r="B35" s="123"/>
    </row>
    <row r="36" ht="12.75">
      <c r="B36" s="123"/>
    </row>
    <row r="37" ht="12.75">
      <c r="B37" s="123"/>
    </row>
    <row r="38" ht="12.75">
      <c r="B38" s="123"/>
    </row>
    <row r="40" ht="13.5">
      <c r="B40" s="131"/>
    </row>
    <row r="41" ht="12.75">
      <c r="B41" s="123"/>
    </row>
    <row r="42" ht="12.75">
      <c r="B42" s="123"/>
    </row>
    <row r="43" ht="12.75">
      <c r="B43" s="123"/>
    </row>
    <row r="50" spans="3:4" ht="12.75">
      <c r="C50" s="132"/>
      <c r="D50" s="133"/>
    </row>
    <row r="57" ht="12.75"/>
    <row r="60" spans="3:4" ht="12.75">
      <c r="C60"/>
      <c r="D60"/>
    </row>
  </sheetData>
  <sheetProtection/>
  <mergeCells count="9">
    <mergeCell ref="B12:D12"/>
    <mergeCell ref="B13:D13"/>
    <mergeCell ref="B8:D8"/>
    <mergeCell ref="B7:D7"/>
    <mergeCell ref="B1:D1"/>
    <mergeCell ref="B2:D2"/>
    <mergeCell ref="B3:D3"/>
    <mergeCell ref="B4:D4"/>
    <mergeCell ref="B10:D10"/>
  </mergeCells>
  <printOptions horizontalCentered="1"/>
  <pageMargins left="0.6692913385826772" right="0.2755905511811024" top="0.5118110236220472" bottom="0.2755905511811024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9">
    <pageSetUpPr fitToPage="1"/>
  </sheetPr>
  <dimension ref="A1:U48"/>
  <sheetViews>
    <sheetView zoomScalePageLayoutView="0" workbookViewId="0" topLeftCell="A3">
      <selection activeCell="Z30" sqref="A30:Z31"/>
    </sheetView>
  </sheetViews>
  <sheetFormatPr defaultColWidth="9.140625" defaultRowHeight="12.75"/>
  <cols>
    <col min="1" max="1" width="3.7109375" style="0" customWidth="1"/>
    <col min="2" max="2" width="5.28125" style="5" customWidth="1"/>
    <col min="3" max="9" width="8.7109375" style="5" customWidth="1"/>
    <col min="10" max="10" width="10.57421875" style="5" customWidth="1"/>
    <col min="11" max="15" width="8.7109375" style="5" customWidth="1"/>
    <col min="16" max="19" width="8.7109375" style="264" customWidth="1"/>
  </cols>
  <sheetData>
    <row r="1" spans="2:21" ht="14.25" customHeight="1">
      <c r="B1" s="254"/>
      <c r="C1" s="254"/>
      <c r="D1" s="254"/>
      <c r="E1" s="254"/>
      <c r="F1" s="254"/>
      <c r="J1" s="16"/>
      <c r="K1" s="16"/>
      <c r="L1" s="16"/>
      <c r="M1" s="16"/>
      <c r="N1" s="422"/>
      <c r="O1" s="452"/>
      <c r="P1" s="255"/>
      <c r="Q1" s="255"/>
      <c r="R1" s="255"/>
      <c r="U1" s="31" t="s">
        <v>154</v>
      </c>
    </row>
    <row r="2" spans="2:21" s="44" customFormat="1" ht="30" customHeight="1">
      <c r="B2" s="1061" t="s">
        <v>92</v>
      </c>
      <c r="C2" s="1061"/>
      <c r="D2" s="1061"/>
      <c r="E2" s="1061"/>
      <c r="F2" s="1061"/>
      <c r="G2" s="1061"/>
      <c r="H2" s="1061"/>
      <c r="I2" s="1061"/>
      <c r="J2" s="1061"/>
      <c r="K2" s="1061"/>
      <c r="L2" s="1061"/>
      <c r="M2" s="1061"/>
      <c r="N2" s="1061"/>
      <c r="O2" s="1061"/>
      <c r="P2" s="1061"/>
      <c r="Q2" s="1061"/>
      <c r="R2" s="1061"/>
      <c r="S2" s="1061"/>
      <c r="T2" s="1061"/>
      <c r="U2" s="1061"/>
    </row>
    <row r="3" spans="2:21" ht="15" customHeight="1">
      <c r="B3" s="1049" t="s">
        <v>233</v>
      </c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3"/>
      <c r="U3" s="13"/>
    </row>
    <row r="4" spans="12:19" ht="12.75" customHeight="1">
      <c r="L4" s="7"/>
      <c r="M4" s="7"/>
      <c r="N4" s="7"/>
      <c r="O4" s="7"/>
      <c r="P4" s="151" t="s">
        <v>3</v>
      </c>
      <c r="Q4" s="256"/>
      <c r="R4" s="256"/>
      <c r="S4" s="256"/>
    </row>
    <row r="5" spans="3:21" ht="34.5" customHeight="1">
      <c r="C5" s="58">
        <v>1995</v>
      </c>
      <c r="D5" s="58">
        <v>2000</v>
      </c>
      <c r="E5" s="59">
        <v>2001</v>
      </c>
      <c r="F5" s="59">
        <v>2002</v>
      </c>
      <c r="G5" s="59">
        <v>2003</v>
      </c>
      <c r="H5" s="59">
        <v>2004</v>
      </c>
      <c r="I5" s="59">
        <v>2005</v>
      </c>
      <c r="J5" s="59">
        <v>2006</v>
      </c>
      <c r="K5" s="59">
        <v>2007</v>
      </c>
      <c r="L5" s="59">
        <v>2008</v>
      </c>
      <c r="M5" s="59">
        <v>2009</v>
      </c>
      <c r="N5" s="59">
        <v>2010</v>
      </c>
      <c r="O5" s="59">
        <v>2011</v>
      </c>
      <c r="P5" s="59">
        <v>2012</v>
      </c>
      <c r="Q5" s="59">
        <v>2013</v>
      </c>
      <c r="R5" s="59">
        <v>2014</v>
      </c>
      <c r="S5" s="59">
        <v>2015</v>
      </c>
      <c r="T5" s="986" t="s">
        <v>257</v>
      </c>
      <c r="U5" s="6"/>
    </row>
    <row r="6" spans="2:21" ht="12.75" customHeight="1">
      <c r="B6" s="57" t="s">
        <v>222</v>
      </c>
      <c r="C6" s="715"/>
      <c r="D6" s="575"/>
      <c r="E6" s="575"/>
      <c r="F6" s="575"/>
      <c r="G6" s="574"/>
      <c r="H6" s="575">
        <f aca="true" t="shared" si="0" ref="H6:N6">SUM(H9:H36)</f>
        <v>1234.469794</v>
      </c>
      <c r="I6" s="574">
        <f t="shared" si="0"/>
        <v>1337.0720000000001</v>
      </c>
      <c r="J6" s="574">
        <f t="shared" si="0"/>
        <v>1470.8480000000002</v>
      </c>
      <c r="K6" s="574">
        <f t="shared" si="0"/>
        <v>1535.071</v>
      </c>
      <c r="L6" s="574">
        <f t="shared" si="0"/>
        <v>1427.5570000000002</v>
      </c>
      <c r="M6" s="574">
        <f t="shared" si="0"/>
        <v>1244.2640000000004</v>
      </c>
      <c r="N6" s="574">
        <f t="shared" si="0"/>
        <v>1099.202</v>
      </c>
      <c r="O6" s="574">
        <f>SUM(O9:O36)</f>
        <v>934.8780000000002</v>
      </c>
      <c r="P6" s="574">
        <f>SUM(P9:P36)</f>
        <v>833.88</v>
      </c>
      <c r="Q6" s="575">
        <f>SUM(Q9:Q36)</f>
        <v>748.1310726350499</v>
      </c>
      <c r="R6" s="575">
        <f>SUM(R9:R36)</f>
        <v>809.9204130151427</v>
      </c>
      <c r="S6" s="574">
        <f>SUM(S9:S36)</f>
        <v>895.033</v>
      </c>
      <c r="T6" s="945">
        <f>S6/R6*100-100</f>
        <v>10.508759332043894</v>
      </c>
      <c r="U6" s="57" t="s">
        <v>222</v>
      </c>
    </row>
    <row r="7" spans="2:21" ht="12.75" customHeight="1">
      <c r="B7" s="55" t="s">
        <v>227</v>
      </c>
      <c r="C7" s="640"/>
      <c r="D7" s="641">
        <f aca="true" t="shared" si="1" ref="D7:N7">SUM(D9,D12:D13,D15:D18,D24,D27:D28,D30,D34:D36,D20)</f>
        <v>1333.1709999999998</v>
      </c>
      <c r="E7" s="641">
        <f t="shared" si="1"/>
        <v>1191.3029999999999</v>
      </c>
      <c r="F7" s="641">
        <f t="shared" si="1"/>
        <v>1115.241</v>
      </c>
      <c r="G7" s="641">
        <f t="shared" si="1"/>
        <v>1136.936</v>
      </c>
      <c r="H7" s="641">
        <f t="shared" si="1"/>
        <v>1193.9660000000001</v>
      </c>
      <c r="I7" s="641">
        <f t="shared" si="1"/>
        <v>1296.032</v>
      </c>
      <c r="J7" s="641">
        <f t="shared" si="1"/>
        <v>1418.4950000000001</v>
      </c>
      <c r="K7" s="641">
        <f t="shared" si="1"/>
        <v>1470.039</v>
      </c>
      <c r="L7" s="641">
        <f t="shared" si="1"/>
        <v>1355.429</v>
      </c>
      <c r="M7" s="641">
        <f t="shared" si="1"/>
        <v>1194.4430000000002</v>
      </c>
      <c r="N7" s="641">
        <f t="shared" si="1"/>
        <v>1062.785</v>
      </c>
      <c r="O7" s="641">
        <f>SUM(O9,O12:O13,O15:O18,O24,O27:O28,O30,O34:O36,O20)</f>
        <v>905.448</v>
      </c>
      <c r="P7" s="641">
        <f>SUM(P9,P12:P13,P15:P18,P24,P27:P28,P30,P34:P36,P20)</f>
        <v>805.625</v>
      </c>
      <c r="Q7" s="641">
        <f>SUM(Q9,Q12:Q13,Q15:Q18,Q24,Q27:Q28,Q30,Q34:Q36,Q20)</f>
        <v>719.9519999999999</v>
      </c>
      <c r="R7" s="641">
        <f>SUM(R9,R12:R13,R15:R18,R24,R27:R28,R30,R34:R36,R20)</f>
        <v>773</v>
      </c>
      <c r="S7" s="641">
        <f>SUM(S9,S12:S13,S15:S18,S24,S27:S28,S30,S34:S36,S20)</f>
        <v>841.136</v>
      </c>
      <c r="T7" s="1006">
        <f>S7/R7*100-100</f>
        <v>8.81448900388098</v>
      </c>
      <c r="U7" s="70" t="s">
        <v>227</v>
      </c>
    </row>
    <row r="8" spans="2:21" ht="12.75" customHeight="1">
      <c r="B8" s="56" t="s">
        <v>231</v>
      </c>
      <c r="C8" s="643"/>
      <c r="D8" s="627"/>
      <c r="E8" s="627"/>
      <c r="F8" s="627"/>
      <c r="G8" s="627"/>
      <c r="H8" s="716">
        <f>H6-H7</f>
        <v>40.50379399999997</v>
      </c>
      <c r="I8" s="627">
        <f aca="true" t="shared" si="2" ref="I8:N8">I6-I7</f>
        <v>41.04000000000019</v>
      </c>
      <c r="J8" s="627">
        <f t="shared" si="2"/>
        <v>52.353000000000065</v>
      </c>
      <c r="K8" s="627">
        <f t="shared" si="2"/>
        <v>65.03199999999993</v>
      </c>
      <c r="L8" s="627">
        <f t="shared" si="2"/>
        <v>72.12800000000016</v>
      </c>
      <c r="M8" s="627">
        <f t="shared" si="2"/>
        <v>49.82100000000014</v>
      </c>
      <c r="N8" s="627">
        <f t="shared" si="2"/>
        <v>36.416999999999916</v>
      </c>
      <c r="O8" s="627">
        <f>O6-O7</f>
        <v>29.430000000000177</v>
      </c>
      <c r="P8" s="627">
        <f>P6-P7</f>
        <v>28.254999999999995</v>
      </c>
      <c r="Q8" s="716">
        <f>Q6-Q7</f>
        <v>28.179072635050034</v>
      </c>
      <c r="R8" s="716">
        <f>R6-R7</f>
        <v>36.920413015142685</v>
      </c>
      <c r="S8" s="627">
        <f>S6-S7</f>
        <v>53.89700000000005</v>
      </c>
      <c r="T8" s="946">
        <f>S8/R8*100-100</f>
        <v>45.981573873224335</v>
      </c>
      <c r="U8" s="56" t="s">
        <v>231</v>
      </c>
    </row>
    <row r="9" spans="1:21" ht="12.75" customHeight="1">
      <c r="A9" s="8"/>
      <c r="B9" s="9" t="s">
        <v>62</v>
      </c>
      <c r="C9" s="614"/>
      <c r="D9" s="583">
        <v>25.319</v>
      </c>
      <c r="E9" s="583">
        <v>21.229</v>
      </c>
      <c r="F9" s="583">
        <v>21.503</v>
      </c>
      <c r="G9" s="583">
        <v>22.224</v>
      </c>
      <c r="H9" s="583">
        <v>25.055</v>
      </c>
      <c r="I9" s="583">
        <v>24.955</v>
      </c>
      <c r="J9" s="583">
        <v>27.269</v>
      </c>
      <c r="K9" s="583">
        <v>30.131</v>
      </c>
      <c r="L9" s="583">
        <v>26.393</v>
      </c>
      <c r="M9" s="583">
        <v>26.423</v>
      </c>
      <c r="N9" s="583">
        <v>26.429</v>
      </c>
      <c r="O9" s="583">
        <f>25.047</f>
        <v>25.047</v>
      </c>
      <c r="P9" s="583">
        <f>23.428</f>
        <v>23.428</v>
      </c>
      <c r="Q9" s="583">
        <v>20.644</v>
      </c>
      <c r="R9" s="583">
        <v>20.681</v>
      </c>
      <c r="S9" s="583">
        <v>21.577</v>
      </c>
      <c r="T9" s="154">
        <f>S9/R9*100-100</f>
        <v>4.332479087084764</v>
      </c>
      <c r="U9" s="9" t="s">
        <v>62</v>
      </c>
    </row>
    <row r="10" spans="1:21" ht="12.75" customHeight="1">
      <c r="A10" s="8"/>
      <c r="B10" s="55" t="s">
        <v>45</v>
      </c>
      <c r="C10" s="586"/>
      <c r="D10" s="587">
        <f>(1117+33+4+2)/1000</f>
        <v>1.156</v>
      </c>
      <c r="E10" s="587">
        <f>(1497+24+2+3)/1000</f>
        <v>1.526</v>
      </c>
      <c r="F10" s="587">
        <f>(2227+12+1+21)/1000</f>
        <v>2.261</v>
      </c>
      <c r="G10" s="587">
        <f>(2986+13+3+2)/1000</f>
        <v>3.004</v>
      </c>
      <c r="H10" s="629">
        <f>(AVERAGE(G10,I10))/1000</f>
        <v>0.001794</v>
      </c>
      <c r="I10" s="587">
        <f>(569+13+2)/1000</f>
        <v>0.584</v>
      </c>
      <c r="J10" s="587">
        <v>0.719</v>
      </c>
      <c r="K10" s="587">
        <f>(1087+7+194)/1000</f>
        <v>1.288</v>
      </c>
      <c r="L10" s="587">
        <f>(1249+6+1+509)/1000</f>
        <v>1.765</v>
      </c>
      <c r="M10" s="587">
        <f>(884+3+326)/1000</f>
        <v>1.213</v>
      </c>
      <c r="N10" s="587">
        <f>(643+4+265)/1000</f>
        <v>0.912</v>
      </c>
      <c r="O10" s="587">
        <f>(565+2+141)/1000</f>
        <v>0.708</v>
      </c>
      <c r="P10" s="587">
        <f>(543+5+135)/1000</f>
        <v>0.683</v>
      </c>
      <c r="Q10" s="587">
        <f>(471+3+93)/1000</f>
        <v>0.567</v>
      </c>
      <c r="R10" s="587">
        <f>(505+1+5+123)/1000</f>
        <v>0.634</v>
      </c>
      <c r="S10" s="587">
        <f>(581+4+19+152)/1000</f>
        <v>0.756</v>
      </c>
      <c r="T10" s="155">
        <f aca="true" t="shared" si="3" ref="T10:T44">S10/R10*100-100</f>
        <v>19.242902208201883</v>
      </c>
      <c r="U10" s="55" t="s">
        <v>45</v>
      </c>
    </row>
    <row r="11" spans="1:21" ht="12.75" customHeight="1">
      <c r="A11" s="8"/>
      <c r="B11" s="10" t="s">
        <v>47</v>
      </c>
      <c r="C11" s="595">
        <v>6.876</v>
      </c>
      <c r="D11" s="592">
        <v>3.865</v>
      </c>
      <c r="E11" s="592">
        <v>5.308</v>
      </c>
      <c r="F11" s="592">
        <v>7.88</v>
      </c>
      <c r="G11" s="592">
        <v>5.959</v>
      </c>
      <c r="H11" s="592">
        <v>7.217</v>
      </c>
      <c r="I11" s="592">
        <v>7.592</v>
      </c>
      <c r="J11" s="592">
        <v>8.423</v>
      </c>
      <c r="K11" s="592">
        <v>9.985</v>
      </c>
      <c r="L11" s="592">
        <v>9.641</v>
      </c>
      <c r="M11" s="592">
        <v>7.214</v>
      </c>
      <c r="N11" s="592">
        <v>5.418</v>
      </c>
      <c r="O11" s="592">
        <v>6.056</v>
      </c>
      <c r="P11" s="592">
        <v>6.975</v>
      </c>
      <c r="Q11" s="592">
        <v>6.996072635049966</v>
      </c>
      <c r="R11" s="592">
        <v>12.441</v>
      </c>
      <c r="S11" s="592">
        <v>13.424</v>
      </c>
      <c r="T11" s="435">
        <f t="shared" si="3"/>
        <v>7.901294108190655</v>
      </c>
      <c r="U11" s="10" t="s">
        <v>47</v>
      </c>
    </row>
    <row r="12" spans="1:21" ht="12.75" customHeight="1">
      <c r="A12" s="8"/>
      <c r="B12" s="55" t="s">
        <v>58</v>
      </c>
      <c r="C12" s="586">
        <v>2.288</v>
      </c>
      <c r="D12" s="587">
        <v>3.3</v>
      </c>
      <c r="E12" s="587">
        <v>2.416</v>
      </c>
      <c r="F12" s="587">
        <v>2.625</v>
      </c>
      <c r="G12" s="587">
        <v>2.824</v>
      </c>
      <c r="H12" s="587">
        <v>3.631</v>
      </c>
      <c r="I12" s="587">
        <v>5.78</v>
      </c>
      <c r="J12" s="587">
        <v>7.578</v>
      </c>
      <c r="K12" s="587">
        <v>9.777</v>
      </c>
      <c r="L12" s="587">
        <v>6.692</v>
      </c>
      <c r="M12" s="587">
        <v>5.165</v>
      </c>
      <c r="N12" s="603">
        <v>3.056</v>
      </c>
      <c r="O12" s="587">
        <f>2.032</f>
        <v>2.032</v>
      </c>
      <c r="P12" s="587">
        <v>1.984</v>
      </c>
      <c r="Q12" s="587">
        <v>1.87</v>
      </c>
      <c r="R12" s="587">
        <v>1.936</v>
      </c>
      <c r="S12" s="587">
        <v>2.417</v>
      </c>
      <c r="T12" s="155">
        <f t="shared" si="3"/>
        <v>24.845041322314046</v>
      </c>
      <c r="U12" s="55" t="s">
        <v>58</v>
      </c>
    </row>
    <row r="13" spans="1:21" ht="12.75" customHeight="1">
      <c r="A13" s="8"/>
      <c r="B13" s="10" t="s">
        <v>63</v>
      </c>
      <c r="C13" s="595">
        <v>218.245</v>
      </c>
      <c r="D13" s="592">
        <v>252.616</v>
      </c>
      <c r="E13" s="592">
        <v>226.958</v>
      </c>
      <c r="F13" s="592">
        <v>204.129</v>
      </c>
      <c r="G13" s="592">
        <v>191.262</v>
      </c>
      <c r="H13" s="592">
        <v>173.524</v>
      </c>
      <c r="I13" s="592">
        <v>168.652</v>
      </c>
      <c r="J13" s="592">
        <v>165.842</v>
      </c>
      <c r="K13" s="592">
        <v>166.883</v>
      </c>
      <c r="L13" s="592">
        <v>166.281</v>
      </c>
      <c r="M13" s="592">
        <v>138.979</v>
      </c>
      <c r="N13" s="592">
        <v>122.293</v>
      </c>
      <c r="O13" s="592">
        <f>126.975</f>
        <v>126.975</v>
      </c>
      <c r="P13" s="592">
        <v>127.497</v>
      </c>
      <c r="Q13" s="592">
        <v>129.605</v>
      </c>
      <c r="R13" s="592">
        <v>141.623</v>
      </c>
      <c r="S13" s="592">
        <v>151.661</v>
      </c>
      <c r="T13" s="156">
        <f t="shared" si="3"/>
        <v>7.087831778736515</v>
      </c>
      <c r="U13" s="10" t="s">
        <v>63</v>
      </c>
    </row>
    <row r="14" spans="1:21" ht="12.75" customHeight="1">
      <c r="A14" s="8"/>
      <c r="B14" s="55" t="s">
        <v>48</v>
      </c>
      <c r="C14" s="586" t="s">
        <v>82</v>
      </c>
      <c r="D14" s="587">
        <v>0.053</v>
      </c>
      <c r="E14" s="587">
        <v>0.152</v>
      </c>
      <c r="F14" s="587">
        <v>0.173</v>
      </c>
      <c r="G14" s="587">
        <v>0.185</v>
      </c>
      <c r="H14" s="587">
        <v>0.231</v>
      </c>
      <c r="I14" s="587">
        <v>0.319</v>
      </c>
      <c r="J14" s="587">
        <v>0.771</v>
      </c>
      <c r="K14" s="587">
        <v>1.254</v>
      </c>
      <c r="L14" s="587">
        <v>1.186</v>
      </c>
      <c r="M14" s="587">
        <v>0.468</v>
      </c>
      <c r="N14" s="603">
        <v>0.464</v>
      </c>
      <c r="O14" s="587">
        <f>0.299</f>
        <v>0.299</v>
      </c>
      <c r="P14" s="587">
        <f>0.364</f>
        <v>0.364</v>
      </c>
      <c r="Q14" s="587">
        <v>0.409</v>
      </c>
      <c r="R14" s="587">
        <v>0.449</v>
      </c>
      <c r="S14" s="587">
        <v>0.489</v>
      </c>
      <c r="T14" s="155">
        <f t="shared" si="3"/>
        <v>8.908685968819597</v>
      </c>
      <c r="U14" s="55" t="s">
        <v>48</v>
      </c>
    </row>
    <row r="15" spans="1:21" ht="12.75" customHeight="1">
      <c r="A15" s="8"/>
      <c r="B15" s="10" t="s">
        <v>66</v>
      </c>
      <c r="C15" s="595"/>
      <c r="D15" s="592">
        <v>3.848</v>
      </c>
      <c r="E15" s="592">
        <v>4.705</v>
      </c>
      <c r="F15" s="592">
        <v>5.596</v>
      </c>
      <c r="G15" s="592">
        <v>2.853</v>
      </c>
      <c r="H15" s="592">
        <v>2.534</v>
      </c>
      <c r="I15" s="592">
        <v>2.391</v>
      </c>
      <c r="J15" s="592">
        <v>2.508</v>
      </c>
      <c r="K15" s="592">
        <v>2.882</v>
      </c>
      <c r="L15" s="592">
        <v>2.645</v>
      </c>
      <c r="M15" s="592">
        <v>1.422</v>
      </c>
      <c r="N15" s="592">
        <v>1.112</v>
      </c>
      <c r="O15" s="592">
        <f>0.831</f>
        <v>0.831</v>
      </c>
      <c r="P15" s="592">
        <f>0.663</f>
        <v>0.663</v>
      </c>
      <c r="Q15" s="592">
        <v>0.441</v>
      </c>
      <c r="R15" s="592">
        <v>0.36</v>
      </c>
      <c r="S15" s="592">
        <v>1.022</v>
      </c>
      <c r="T15" s="156">
        <f t="shared" si="3"/>
        <v>183.8888888888889</v>
      </c>
      <c r="U15" s="10" t="s">
        <v>66</v>
      </c>
    </row>
    <row r="16" spans="1:21" ht="12.75" customHeight="1">
      <c r="A16" s="8"/>
      <c r="B16" s="55" t="s">
        <v>59</v>
      </c>
      <c r="C16" s="586"/>
      <c r="D16" s="587">
        <v>64.042</v>
      </c>
      <c r="E16" s="587">
        <v>66.833</v>
      </c>
      <c r="F16" s="587">
        <v>56.069</v>
      </c>
      <c r="G16" s="587">
        <v>59.137</v>
      </c>
      <c r="H16" s="587">
        <v>72.023</v>
      </c>
      <c r="I16" s="587">
        <v>83.078</v>
      </c>
      <c r="J16" s="587">
        <v>88.48</v>
      </c>
      <c r="K16" s="587">
        <v>100.458</v>
      </c>
      <c r="L16" s="587">
        <v>100.118</v>
      </c>
      <c r="M16" s="587">
        <v>69.246</v>
      </c>
      <c r="N16" s="603">
        <v>61.531</v>
      </c>
      <c r="O16" s="587">
        <f>44.7</f>
        <v>44.7</v>
      </c>
      <c r="P16" s="587">
        <v>31.805</v>
      </c>
      <c r="Q16" s="587">
        <v>28.522</v>
      </c>
      <c r="R16" s="587">
        <v>30.951</v>
      </c>
      <c r="S16" s="587">
        <v>32.468</v>
      </c>
      <c r="T16" s="155">
        <f t="shared" si="3"/>
        <v>4.901295596265072</v>
      </c>
      <c r="U16" s="55" t="s">
        <v>59</v>
      </c>
    </row>
    <row r="17" spans="1:21" ht="12.75" customHeight="1">
      <c r="A17" s="8"/>
      <c r="B17" s="10" t="s">
        <v>64</v>
      </c>
      <c r="C17" s="595"/>
      <c r="D17" s="592">
        <v>72.022</v>
      </c>
      <c r="E17" s="592">
        <v>64.129</v>
      </c>
      <c r="F17" s="592">
        <v>63.365</v>
      </c>
      <c r="G17" s="592">
        <v>77.439</v>
      </c>
      <c r="H17" s="592">
        <v>123.143</v>
      </c>
      <c r="I17" s="592">
        <v>205.626</v>
      </c>
      <c r="J17" s="592">
        <v>258.355</v>
      </c>
      <c r="K17" s="592">
        <v>269.479</v>
      </c>
      <c r="L17" s="592">
        <v>209.941</v>
      </c>
      <c r="M17" s="592">
        <v>134.64</v>
      </c>
      <c r="N17" s="592">
        <v>135.259</v>
      </c>
      <c r="O17" s="592">
        <f>119.423</f>
        <v>119.423</v>
      </c>
      <c r="P17" s="592">
        <v>97.931</v>
      </c>
      <c r="Q17" s="592">
        <v>92.678</v>
      </c>
      <c r="R17" s="592">
        <v>111.46</v>
      </c>
      <c r="S17" s="592">
        <v>132.536</v>
      </c>
      <c r="T17" s="156">
        <f t="shared" si="3"/>
        <v>18.909025659429403</v>
      </c>
      <c r="U17" s="10" t="s">
        <v>64</v>
      </c>
    </row>
    <row r="18" spans="1:21" ht="12.75" customHeight="1">
      <c r="A18" s="8"/>
      <c r="B18" s="55" t="s">
        <v>65</v>
      </c>
      <c r="C18" s="586"/>
      <c r="D18" s="587">
        <v>179.552</v>
      </c>
      <c r="E18" s="587">
        <v>179.59</v>
      </c>
      <c r="F18" s="587">
        <v>168.754</v>
      </c>
      <c r="G18" s="587">
        <v>176.006</v>
      </c>
      <c r="H18" s="587">
        <v>183.811</v>
      </c>
      <c r="I18" s="587">
        <v>196.618</v>
      </c>
      <c r="J18" s="587">
        <v>229.364</v>
      </c>
      <c r="K18" s="587">
        <v>238.966</v>
      </c>
      <c r="L18" s="587">
        <v>237.592</v>
      </c>
      <c r="M18" s="587">
        <v>200.017</v>
      </c>
      <c r="N18" s="603">
        <v>231.593</v>
      </c>
      <c r="O18" s="587">
        <f>185.122</f>
        <v>185.122</v>
      </c>
      <c r="P18" s="587">
        <v>169.644</v>
      </c>
      <c r="Q18" s="587">
        <v>147.915</v>
      </c>
      <c r="R18" s="587">
        <v>153.324</v>
      </c>
      <c r="S18" s="587">
        <v>153.242</v>
      </c>
      <c r="T18" s="155">
        <f t="shared" si="3"/>
        <v>-0.053481516266217</v>
      </c>
      <c r="U18" s="55" t="s">
        <v>65</v>
      </c>
    </row>
    <row r="19" spans="1:21" ht="12.75" customHeight="1">
      <c r="A19" s="8"/>
      <c r="B19" s="10" t="s">
        <v>76</v>
      </c>
      <c r="C19" s="595"/>
      <c r="D19" s="592"/>
      <c r="E19" s="592"/>
      <c r="F19" s="592">
        <v>4.483</v>
      </c>
      <c r="G19" s="592">
        <v>6.875</v>
      </c>
      <c r="H19" s="592">
        <v>6.662</v>
      </c>
      <c r="I19" s="592">
        <v>6.722</v>
      </c>
      <c r="J19" s="592">
        <v>7.775</v>
      </c>
      <c r="K19" s="592">
        <v>8.974</v>
      </c>
      <c r="L19" s="592">
        <v>8.811</v>
      </c>
      <c r="M19" s="592">
        <v>4.717</v>
      </c>
      <c r="N19" s="592">
        <v>2.851</v>
      </c>
      <c r="O19" s="592">
        <v>2.726</v>
      </c>
      <c r="P19" s="592">
        <v>2.397</v>
      </c>
      <c r="Q19" s="592">
        <v>2.028</v>
      </c>
      <c r="R19" s="592">
        <v>2.455</v>
      </c>
      <c r="S19" s="592">
        <v>1.511</v>
      </c>
      <c r="T19" s="156">
        <f t="shared" si="3"/>
        <v>-38.452138492871704</v>
      </c>
      <c r="U19" s="10" t="s">
        <v>76</v>
      </c>
    </row>
    <row r="20" spans="1:21" ht="12.75" customHeight="1">
      <c r="A20" s="8"/>
      <c r="B20" s="184" t="s">
        <v>67</v>
      </c>
      <c r="C20" s="602"/>
      <c r="D20" s="603">
        <v>524.619</v>
      </c>
      <c r="E20" s="603">
        <v>420.355</v>
      </c>
      <c r="F20" s="603">
        <v>392.763</v>
      </c>
      <c r="G20" s="603">
        <v>408.617</v>
      </c>
      <c r="H20" s="603">
        <v>421.489</v>
      </c>
      <c r="I20" s="603">
        <v>420.478</v>
      </c>
      <c r="J20" s="603">
        <v>444.987</v>
      </c>
      <c r="K20" s="603">
        <v>435.959</v>
      </c>
      <c r="L20" s="603">
        <v>408.249</v>
      </c>
      <c r="M20" s="603">
        <v>445.621</v>
      </c>
      <c r="N20" s="603">
        <v>320.439</v>
      </c>
      <c r="O20" s="603">
        <f>253.625</f>
        <v>253.625</v>
      </c>
      <c r="P20" s="603">
        <f>206.291</f>
        <v>206.291</v>
      </c>
      <c r="Q20" s="603">
        <v>153.941</v>
      </c>
      <c r="R20" s="603">
        <v>156.431</v>
      </c>
      <c r="S20" s="603">
        <v>172.073</v>
      </c>
      <c r="T20" s="209">
        <f t="shared" si="3"/>
        <v>9.999296814569988</v>
      </c>
      <c r="U20" s="184" t="s">
        <v>67</v>
      </c>
    </row>
    <row r="21" spans="1:21" ht="12.75" customHeight="1">
      <c r="A21" s="8"/>
      <c r="B21" s="10" t="s">
        <v>46</v>
      </c>
      <c r="C21" s="595" t="s">
        <v>82</v>
      </c>
      <c r="D21" s="592"/>
      <c r="E21" s="592">
        <v>2.834</v>
      </c>
      <c r="F21" s="592">
        <v>2.145</v>
      </c>
      <c r="G21" s="592">
        <v>1.824</v>
      </c>
      <c r="H21" s="592">
        <v>2.273</v>
      </c>
      <c r="I21" s="592">
        <v>2.455</v>
      </c>
      <c r="J21" s="592">
        <v>2.925</v>
      </c>
      <c r="K21" s="592">
        <v>3.71</v>
      </c>
      <c r="L21" s="592">
        <v>4.459</v>
      </c>
      <c r="M21" s="592">
        <v>3.14</v>
      </c>
      <c r="N21" s="592">
        <v>3.06</v>
      </c>
      <c r="O21" s="592">
        <f>2.527</f>
        <v>2.527</v>
      </c>
      <c r="P21" s="592">
        <v>2.074</v>
      </c>
      <c r="Q21" s="592">
        <v>1.675</v>
      </c>
      <c r="R21" s="592">
        <v>1.901</v>
      </c>
      <c r="S21" s="592">
        <v>1.673</v>
      </c>
      <c r="T21" s="156">
        <f t="shared" si="3"/>
        <v>-11.99368753287743</v>
      </c>
      <c r="U21" s="10" t="s">
        <v>46</v>
      </c>
    </row>
    <row r="22" spans="1:21" ht="12.75" customHeight="1">
      <c r="A22" s="8"/>
      <c r="B22" s="184" t="s">
        <v>50</v>
      </c>
      <c r="C22" s="602" t="s">
        <v>82</v>
      </c>
      <c r="D22" s="603" t="s">
        <v>82</v>
      </c>
      <c r="E22" s="603" t="s">
        <v>82</v>
      </c>
      <c r="F22" s="603">
        <v>0.216</v>
      </c>
      <c r="G22" s="603">
        <v>0.221</v>
      </c>
      <c r="H22" s="603">
        <v>0.373</v>
      </c>
      <c r="I22" s="603">
        <v>0.4</v>
      </c>
      <c r="J22" s="603">
        <v>0.773</v>
      </c>
      <c r="K22" s="603">
        <v>1.53</v>
      </c>
      <c r="L22" s="603">
        <v>1.568</v>
      </c>
      <c r="M22" s="603">
        <v>0.348</v>
      </c>
      <c r="N22" s="603">
        <v>0.278</v>
      </c>
      <c r="O22" s="603">
        <f>0.472</f>
        <v>0.472</v>
      </c>
      <c r="P22" s="603">
        <v>0.494</v>
      </c>
      <c r="Q22" s="603">
        <v>0.477</v>
      </c>
      <c r="R22" s="603">
        <v>0.589</v>
      </c>
      <c r="S22" s="603">
        <v>0.595</v>
      </c>
      <c r="T22" s="209">
        <f t="shared" si="3"/>
        <v>1.0186757215619764</v>
      </c>
      <c r="U22" s="184" t="s">
        <v>50</v>
      </c>
    </row>
    <row r="23" spans="1:21" ht="12.75" customHeight="1">
      <c r="A23" s="8"/>
      <c r="B23" s="10" t="s">
        <v>51</v>
      </c>
      <c r="C23" s="595" t="s">
        <v>82</v>
      </c>
      <c r="D23" s="592">
        <v>0.377</v>
      </c>
      <c r="E23" s="592">
        <v>0.516</v>
      </c>
      <c r="F23" s="592">
        <v>0.793</v>
      </c>
      <c r="G23" s="592">
        <v>0.858</v>
      </c>
      <c r="H23" s="592">
        <v>1.101</v>
      </c>
      <c r="I23" s="592">
        <v>1.653</v>
      </c>
      <c r="J23" s="592">
        <v>2.457</v>
      </c>
      <c r="K23" s="592">
        <v>4.42</v>
      </c>
      <c r="L23" s="592">
        <v>5.622</v>
      </c>
      <c r="M23" s="592">
        <v>3.89</v>
      </c>
      <c r="N23" s="597">
        <f>0.229</f>
        <v>0.229</v>
      </c>
      <c r="O23" s="592">
        <v>0.28</v>
      </c>
      <c r="P23" s="592">
        <v>0.224</v>
      </c>
      <c r="Q23" s="592">
        <v>0.241</v>
      </c>
      <c r="R23" s="592">
        <v>0.294</v>
      </c>
      <c r="S23" s="592">
        <v>0.294</v>
      </c>
      <c r="T23" s="156">
        <f t="shared" si="3"/>
        <v>0</v>
      </c>
      <c r="U23" s="10" t="s">
        <v>51</v>
      </c>
    </row>
    <row r="24" spans="1:21" ht="12.75" customHeight="1">
      <c r="A24" s="8"/>
      <c r="B24" s="184" t="s">
        <v>68</v>
      </c>
      <c r="C24" s="602">
        <v>0.985</v>
      </c>
      <c r="D24" s="603">
        <v>1.26</v>
      </c>
      <c r="E24" s="603">
        <v>1.139</v>
      </c>
      <c r="F24" s="603">
        <v>1.324</v>
      </c>
      <c r="G24" s="603">
        <v>1.437</v>
      </c>
      <c r="H24" s="603">
        <v>1.354</v>
      </c>
      <c r="I24" s="603">
        <v>1.265</v>
      </c>
      <c r="J24" s="603">
        <v>1.378</v>
      </c>
      <c r="K24" s="603">
        <v>1.417</v>
      </c>
      <c r="L24" s="603">
        <v>1.353</v>
      </c>
      <c r="M24" s="603">
        <v>1.553</v>
      </c>
      <c r="N24" s="603">
        <v>1.562</v>
      </c>
      <c r="O24" s="603">
        <f>1.306</f>
        <v>1.306</v>
      </c>
      <c r="P24" s="603">
        <v>1.201</v>
      </c>
      <c r="Q24" s="603">
        <v>1.566</v>
      </c>
      <c r="R24" s="603">
        <v>1.734</v>
      </c>
      <c r="S24" s="603">
        <v>1.654</v>
      </c>
      <c r="T24" s="209">
        <f t="shared" si="3"/>
        <v>-4.613610149942332</v>
      </c>
      <c r="U24" s="184" t="s">
        <v>68</v>
      </c>
    </row>
    <row r="25" spans="1:21" ht="12.75" customHeight="1">
      <c r="A25" s="8"/>
      <c r="B25" s="10" t="s">
        <v>49</v>
      </c>
      <c r="C25" s="595" t="s">
        <v>82</v>
      </c>
      <c r="D25" s="592" t="s">
        <v>82</v>
      </c>
      <c r="E25" s="592" t="s">
        <v>82</v>
      </c>
      <c r="F25" s="592">
        <v>7.438</v>
      </c>
      <c r="G25" s="592">
        <v>8.875</v>
      </c>
      <c r="H25" s="592">
        <v>16.152</v>
      </c>
      <c r="I25" s="592">
        <v>12.538</v>
      </c>
      <c r="J25" s="592">
        <v>12.048</v>
      </c>
      <c r="K25" s="592">
        <v>12.781</v>
      </c>
      <c r="L25" s="592">
        <v>12.285</v>
      </c>
      <c r="M25" s="592">
        <v>4.027</v>
      </c>
      <c r="N25" s="592">
        <v>3.211</v>
      </c>
      <c r="O25" s="592">
        <f>2.091</f>
        <v>2.091</v>
      </c>
      <c r="P25" s="592">
        <f>1.957</f>
        <v>1.957</v>
      </c>
      <c r="Q25" s="592">
        <v>1.778</v>
      </c>
      <c r="R25" s="605">
        <f>Q25*(161.5/157.2)</f>
        <v>1.8266348600508906</v>
      </c>
      <c r="S25" s="592">
        <v>2.093</v>
      </c>
      <c r="T25" s="435">
        <f t="shared" si="3"/>
        <v>14.582287121230593</v>
      </c>
      <c r="U25" s="10" t="s">
        <v>49</v>
      </c>
    </row>
    <row r="26" spans="1:21" ht="12.75" customHeight="1">
      <c r="A26" s="8"/>
      <c r="B26" s="184" t="s">
        <v>52</v>
      </c>
      <c r="C26" s="602" t="s">
        <v>82</v>
      </c>
      <c r="D26" s="603"/>
      <c r="E26" s="603"/>
      <c r="F26" s="603">
        <v>0.551</v>
      </c>
      <c r="G26" s="603">
        <v>0.508</v>
      </c>
      <c r="H26" s="603">
        <v>0.473</v>
      </c>
      <c r="I26" s="603">
        <v>0.408</v>
      </c>
      <c r="J26" s="603">
        <v>0.544</v>
      </c>
      <c r="K26" s="603">
        <v>0.532</v>
      </c>
      <c r="L26" s="603">
        <v>0.699</v>
      </c>
      <c r="M26" s="603">
        <v>0.608</v>
      </c>
      <c r="N26" s="603">
        <v>0.568</v>
      </c>
      <c r="O26" s="603">
        <f>0.746</f>
        <v>0.746</v>
      </c>
      <c r="P26" s="603">
        <v>0.812</v>
      </c>
      <c r="Q26" s="603">
        <v>0.873</v>
      </c>
      <c r="R26" s="603">
        <v>1.148</v>
      </c>
      <c r="S26" s="603">
        <v>1.385</v>
      </c>
      <c r="T26" s="209">
        <f t="shared" si="3"/>
        <v>20.64459930313589</v>
      </c>
      <c r="U26" s="184" t="s">
        <v>52</v>
      </c>
    </row>
    <row r="27" spans="1:21" ht="12.75" customHeight="1">
      <c r="A27" s="8"/>
      <c r="B27" s="10" t="s">
        <v>60</v>
      </c>
      <c r="C27" s="595">
        <v>17.799</v>
      </c>
      <c r="D27" s="592">
        <v>19.626</v>
      </c>
      <c r="E27" s="592">
        <v>17.562</v>
      </c>
      <c r="F27" s="592">
        <v>16.845</v>
      </c>
      <c r="G27" s="592">
        <v>16.737</v>
      </c>
      <c r="H27" s="592">
        <v>17.566</v>
      </c>
      <c r="I27" s="592">
        <v>16.814</v>
      </c>
      <c r="J27" s="592">
        <v>14.79</v>
      </c>
      <c r="K27" s="592">
        <v>16.237</v>
      </c>
      <c r="L27" s="592">
        <v>16.961</v>
      </c>
      <c r="M27" s="592">
        <v>18.278</v>
      </c>
      <c r="N27" s="592">
        <v>15.24</v>
      </c>
      <c r="O27" s="592">
        <f>11.662</f>
        <v>11.662</v>
      </c>
      <c r="P27" s="592">
        <f>10.617</f>
        <v>10.617</v>
      </c>
      <c r="Q27" s="592">
        <v>9.57</v>
      </c>
      <c r="R27" s="592">
        <v>10.673</v>
      </c>
      <c r="S27" s="592">
        <v>11.688</v>
      </c>
      <c r="T27" s="156">
        <f t="shared" si="3"/>
        <v>9.50997845029515</v>
      </c>
      <c r="U27" s="10" t="s">
        <v>60</v>
      </c>
    </row>
    <row r="28" spans="1:21" ht="12.75" customHeight="1">
      <c r="A28" s="8"/>
      <c r="B28" s="184" t="s">
        <v>69</v>
      </c>
      <c r="C28" s="602">
        <v>18.704</v>
      </c>
      <c r="D28" s="603">
        <v>23.775</v>
      </c>
      <c r="E28" s="603">
        <v>19.952</v>
      </c>
      <c r="F28" s="603">
        <v>16.687</v>
      </c>
      <c r="G28" s="603">
        <v>17.93</v>
      </c>
      <c r="H28" s="603">
        <v>18.748</v>
      </c>
      <c r="I28" s="603">
        <v>19.094</v>
      </c>
      <c r="J28" s="603">
        <v>18.873</v>
      </c>
      <c r="K28" s="603">
        <v>23.748</v>
      </c>
      <c r="L28" s="603">
        <v>24.48</v>
      </c>
      <c r="M28" s="603">
        <v>23.712</v>
      </c>
      <c r="N28" s="603">
        <v>21.44</v>
      </c>
      <c r="O28" s="603">
        <f>22.75</f>
        <v>22.75</v>
      </c>
      <c r="P28" s="603">
        <f>24.808</f>
        <v>24.808</v>
      </c>
      <c r="Q28" s="603">
        <v>25.996</v>
      </c>
      <c r="R28" s="603">
        <v>25.155</v>
      </c>
      <c r="S28" s="603">
        <v>24.891</v>
      </c>
      <c r="T28" s="209">
        <f t="shared" si="3"/>
        <v>-1.0494931425164111</v>
      </c>
      <c r="U28" s="184" t="s">
        <v>69</v>
      </c>
    </row>
    <row r="29" spans="1:21" ht="12.75" customHeight="1">
      <c r="A29" s="8"/>
      <c r="B29" s="10" t="s">
        <v>53</v>
      </c>
      <c r="C29" s="595" t="s">
        <v>82</v>
      </c>
      <c r="D29" s="592" t="s">
        <v>82</v>
      </c>
      <c r="E29" s="592" t="s">
        <v>82</v>
      </c>
      <c r="F29" s="592"/>
      <c r="G29" s="592">
        <v>1.3</v>
      </c>
      <c r="H29" s="592">
        <v>1.95</v>
      </c>
      <c r="I29" s="592">
        <v>3.841</v>
      </c>
      <c r="J29" s="592">
        <v>5.115</v>
      </c>
      <c r="K29" s="592">
        <v>7.574</v>
      </c>
      <c r="L29" s="592">
        <v>10.696</v>
      </c>
      <c r="M29" s="592">
        <v>9.43</v>
      </c>
      <c r="N29" s="592">
        <v>8.724</v>
      </c>
      <c r="O29" s="592">
        <f>8.957</f>
        <v>8.957</v>
      </c>
      <c r="P29" s="592">
        <f>7.758</f>
        <v>7.758</v>
      </c>
      <c r="Q29" s="592">
        <v>7.394</v>
      </c>
      <c r="R29" s="592">
        <v>9.848</v>
      </c>
      <c r="S29" s="592">
        <v>23.865</v>
      </c>
      <c r="T29" s="156">
        <f t="shared" si="3"/>
        <v>142.3334687246141</v>
      </c>
      <c r="U29" s="10" t="s">
        <v>53</v>
      </c>
    </row>
    <row r="30" spans="1:21" ht="12.75" customHeight="1">
      <c r="A30" s="8"/>
      <c r="B30" s="184" t="s">
        <v>70</v>
      </c>
      <c r="C30" s="602">
        <v>12.059</v>
      </c>
      <c r="D30" s="603">
        <v>17.716</v>
      </c>
      <c r="E30" s="603">
        <v>17.087</v>
      </c>
      <c r="F30" s="603">
        <v>14.218</v>
      </c>
      <c r="G30" s="603">
        <v>11.198</v>
      </c>
      <c r="H30" s="603">
        <v>11.562</v>
      </c>
      <c r="I30" s="603">
        <v>11.232</v>
      </c>
      <c r="J30" s="603">
        <v>11.435</v>
      </c>
      <c r="K30" s="603">
        <v>11.991</v>
      </c>
      <c r="L30" s="603">
        <v>10.762</v>
      </c>
      <c r="M30" s="603">
        <v>13.475</v>
      </c>
      <c r="N30" s="603">
        <v>18.896</v>
      </c>
      <c r="O30" s="603">
        <f>18.937</f>
        <v>18.937</v>
      </c>
      <c r="P30" s="603">
        <v>17.136</v>
      </c>
      <c r="Q30" s="603">
        <v>14.51</v>
      </c>
      <c r="R30" s="603">
        <v>15.335</v>
      </c>
      <c r="S30" s="603">
        <v>17.611</v>
      </c>
      <c r="T30" s="209">
        <f t="shared" si="3"/>
        <v>14.841865014672308</v>
      </c>
      <c r="U30" s="184" t="s">
        <v>70</v>
      </c>
    </row>
    <row r="31" spans="1:21" ht="12.75" customHeight="1">
      <c r="A31" s="8"/>
      <c r="B31" s="10" t="s">
        <v>54</v>
      </c>
      <c r="C31" s="595"/>
      <c r="D31" s="592"/>
      <c r="E31" s="592"/>
      <c r="F31" s="592"/>
      <c r="G31" s="592">
        <v>0.616</v>
      </c>
      <c r="H31" s="592">
        <v>0.833</v>
      </c>
      <c r="I31" s="592">
        <v>0.828</v>
      </c>
      <c r="J31" s="592">
        <v>5.083</v>
      </c>
      <c r="K31" s="592">
        <v>4.779</v>
      </c>
      <c r="L31" s="592">
        <v>6.961</v>
      </c>
      <c r="M31" s="592">
        <v>8.64</v>
      </c>
      <c r="N31" s="592">
        <f>5.72</f>
        <v>5.72</v>
      </c>
      <c r="O31" s="597">
        <v>0.469</v>
      </c>
      <c r="P31" s="592">
        <v>0.555</v>
      </c>
      <c r="Q31" s="592">
        <v>0.521</v>
      </c>
      <c r="R31" s="605">
        <f>Q31*(1.019917)</f>
        <v>0.531376757</v>
      </c>
      <c r="S31" s="592">
        <v>0.648</v>
      </c>
      <c r="T31" s="435">
        <f t="shared" si="3"/>
        <v>21.94737377269213</v>
      </c>
      <c r="U31" s="10" t="s">
        <v>54</v>
      </c>
    </row>
    <row r="32" spans="1:21" ht="12.75" customHeight="1">
      <c r="A32" s="8"/>
      <c r="B32" s="184" t="s">
        <v>56</v>
      </c>
      <c r="C32" s="602" t="s">
        <v>82</v>
      </c>
      <c r="D32" s="603">
        <v>1.23</v>
      </c>
      <c r="E32" s="603">
        <v>0.965</v>
      </c>
      <c r="F32" s="603">
        <v>1.159</v>
      </c>
      <c r="G32" s="603">
        <v>1.466</v>
      </c>
      <c r="H32" s="603">
        <v>2.072</v>
      </c>
      <c r="I32" s="603">
        <v>2.535</v>
      </c>
      <c r="J32" s="603">
        <v>3.598</v>
      </c>
      <c r="K32" s="603">
        <v>5.061</v>
      </c>
      <c r="L32" s="603">
        <v>5.296</v>
      </c>
      <c r="M32" s="603">
        <v>3.795</v>
      </c>
      <c r="N32" s="603">
        <f>2.658</f>
        <v>2.658</v>
      </c>
      <c r="O32" s="603">
        <v>2.139</v>
      </c>
      <c r="P32" s="603">
        <v>2.042</v>
      </c>
      <c r="Q32" s="603">
        <v>2.38</v>
      </c>
      <c r="R32" s="603">
        <v>1.707</v>
      </c>
      <c r="S32" s="603">
        <v>1.855</v>
      </c>
      <c r="T32" s="209">
        <f t="shared" si="3"/>
        <v>8.67018160515525</v>
      </c>
      <c r="U32" s="184" t="s">
        <v>56</v>
      </c>
    </row>
    <row r="33" spans="1:21" ht="12.75" customHeight="1">
      <c r="A33" s="8"/>
      <c r="B33" s="10" t="s">
        <v>55</v>
      </c>
      <c r="C33" s="595" t="s">
        <v>82</v>
      </c>
      <c r="D33" s="592" t="s">
        <v>82</v>
      </c>
      <c r="E33" s="592" t="s">
        <v>82</v>
      </c>
      <c r="F33" s="592"/>
      <c r="G33" s="592"/>
      <c r="H33" s="592">
        <v>1.165</v>
      </c>
      <c r="I33" s="592">
        <v>1.165</v>
      </c>
      <c r="J33" s="592">
        <v>2.122</v>
      </c>
      <c r="K33" s="592">
        <v>3.144</v>
      </c>
      <c r="L33" s="592">
        <v>3.139</v>
      </c>
      <c r="M33" s="592">
        <v>2.331</v>
      </c>
      <c r="N33" s="592">
        <f>2.324</f>
        <v>2.324</v>
      </c>
      <c r="O33" s="592">
        <f>1.96</f>
        <v>1.96</v>
      </c>
      <c r="P33" s="592">
        <f>1.92</f>
        <v>1.92</v>
      </c>
      <c r="Q33" s="592">
        <v>2.84</v>
      </c>
      <c r="R33" s="605">
        <f>Q33*80791/74101</f>
        <v>3.0964013980917935</v>
      </c>
      <c r="S33" s="592">
        <v>5.309</v>
      </c>
      <c r="T33" s="435">
        <f t="shared" si="3"/>
        <v>71.45709865884172</v>
      </c>
      <c r="U33" s="10" t="s">
        <v>55</v>
      </c>
    </row>
    <row r="34" spans="1:21" ht="12.75" customHeight="1">
      <c r="A34" s="8"/>
      <c r="B34" s="184" t="s">
        <v>71</v>
      </c>
      <c r="C34" s="602"/>
      <c r="D34" s="603">
        <v>5.167</v>
      </c>
      <c r="E34" s="603">
        <v>4.408</v>
      </c>
      <c r="F34" s="603">
        <v>4.92</v>
      </c>
      <c r="G34" s="603">
        <v>6.264</v>
      </c>
      <c r="H34" s="603">
        <v>7.835</v>
      </c>
      <c r="I34" s="603">
        <v>9.228</v>
      </c>
      <c r="J34" s="603">
        <v>11.058</v>
      </c>
      <c r="K34" s="603">
        <v>11.533</v>
      </c>
      <c r="L34" s="603">
        <v>9.065</v>
      </c>
      <c r="M34" s="603">
        <v>8.842</v>
      </c>
      <c r="N34" s="603">
        <f>9.478</f>
        <v>9.478</v>
      </c>
      <c r="O34" s="603">
        <f>5.677</f>
        <v>5.677</v>
      </c>
      <c r="P34" s="603">
        <f>4.986</f>
        <v>4.986</v>
      </c>
      <c r="Q34" s="603">
        <v>3.943</v>
      </c>
      <c r="R34" s="603">
        <v>3.467</v>
      </c>
      <c r="S34" s="603">
        <v>3.157</v>
      </c>
      <c r="T34" s="209">
        <f t="shared" si="3"/>
        <v>-8.9414479376983</v>
      </c>
      <c r="U34" s="184" t="s">
        <v>71</v>
      </c>
    </row>
    <row r="35" spans="1:21" ht="12.75" customHeight="1">
      <c r="A35" s="8"/>
      <c r="B35" s="10" t="s">
        <v>72</v>
      </c>
      <c r="C35" s="595"/>
      <c r="D35" s="592">
        <v>18.401</v>
      </c>
      <c r="E35" s="592">
        <v>21.074</v>
      </c>
      <c r="F35" s="592">
        <v>23.052</v>
      </c>
      <c r="G35" s="592">
        <v>23.66</v>
      </c>
      <c r="H35" s="592">
        <v>25.3</v>
      </c>
      <c r="I35" s="592">
        <v>22.763</v>
      </c>
      <c r="J35" s="592">
        <v>27.051</v>
      </c>
      <c r="K35" s="592">
        <v>30.715</v>
      </c>
      <c r="L35" s="592">
        <v>20.423</v>
      </c>
      <c r="M35" s="592">
        <v>11.839</v>
      </c>
      <c r="N35" s="592">
        <f>13.152</f>
        <v>13.152</v>
      </c>
      <c r="O35" s="592">
        <f>8.216</f>
        <v>8.216</v>
      </c>
      <c r="P35" s="592">
        <f>7.605</f>
        <v>7.605</v>
      </c>
      <c r="Q35" s="592">
        <v>7.8</v>
      </c>
      <c r="R35" s="592">
        <v>8.378</v>
      </c>
      <c r="S35" s="592">
        <v>9.422</v>
      </c>
      <c r="T35" s="156">
        <f t="shared" si="3"/>
        <v>12.461207925519219</v>
      </c>
      <c r="U35" s="10" t="s">
        <v>72</v>
      </c>
    </row>
    <row r="36" spans="1:21" ht="12.75" customHeight="1">
      <c r="A36" s="8"/>
      <c r="B36" s="186" t="s">
        <v>61</v>
      </c>
      <c r="C36" s="610"/>
      <c r="D36" s="611">
        <v>121.908</v>
      </c>
      <c r="E36" s="611">
        <v>123.866</v>
      </c>
      <c r="F36" s="611">
        <v>123.391</v>
      </c>
      <c r="G36" s="611">
        <v>119.348</v>
      </c>
      <c r="H36" s="611">
        <v>106.391</v>
      </c>
      <c r="I36" s="611">
        <v>108.058</v>
      </c>
      <c r="J36" s="611">
        <v>109.527</v>
      </c>
      <c r="K36" s="611">
        <v>119.863</v>
      </c>
      <c r="L36" s="611">
        <v>114.474</v>
      </c>
      <c r="M36" s="611">
        <v>95.231</v>
      </c>
      <c r="N36" s="611">
        <f>81.305</f>
        <v>81.305</v>
      </c>
      <c r="O36" s="611">
        <v>79.145</v>
      </c>
      <c r="P36" s="611">
        <f>80.029</f>
        <v>80.029</v>
      </c>
      <c r="Q36" s="611">
        <v>80.951</v>
      </c>
      <c r="R36" s="611">
        <v>91.492</v>
      </c>
      <c r="S36" s="611">
        <v>105.717</v>
      </c>
      <c r="T36" s="210">
        <f t="shared" si="3"/>
        <v>15.547807458575605</v>
      </c>
      <c r="U36" s="186" t="s">
        <v>61</v>
      </c>
    </row>
    <row r="37" spans="1:21" s="493" customFormat="1" ht="12.75" customHeight="1">
      <c r="A37" s="8"/>
      <c r="B37" s="496" t="s">
        <v>221</v>
      </c>
      <c r="C37" s="614"/>
      <c r="D37" s="583"/>
      <c r="E37" s="583"/>
      <c r="F37" s="583"/>
      <c r="G37" s="583"/>
      <c r="H37" s="583"/>
      <c r="I37" s="583"/>
      <c r="J37" s="583"/>
      <c r="K37" s="583"/>
      <c r="L37" s="583"/>
      <c r="M37" s="583"/>
      <c r="N37" s="583"/>
      <c r="O37" s="583"/>
      <c r="P37" s="583"/>
      <c r="Q37" s="583"/>
      <c r="R37" s="583"/>
      <c r="S37" s="583"/>
      <c r="T37" s="154"/>
      <c r="U37" s="496" t="s">
        <v>221</v>
      </c>
    </row>
    <row r="38" spans="1:21" ht="12.75" customHeight="1">
      <c r="A38" s="8"/>
      <c r="B38" s="184" t="s">
        <v>213</v>
      </c>
      <c r="C38" s="602"/>
      <c r="D38" s="603"/>
      <c r="E38" s="603"/>
      <c r="F38" s="603"/>
      <c r="G38" s="603"/>
      <c r="H38" s="603"/>
      <c r="I38" s="603"/>
      <c r="J38" s="603"/>
      <c r="K38" s="603"/>
      <c r="L38" s="603"/>
      <c r="M38" s="603"/>
      <c r="N38" s="603"/>
      <c r="O38" s="603">
        <v>0.771</v>
      </c>
      <c r="P38" s="603">
        <v>0.787</v>
      </c>
      <c r="Q38" s="603">
        <f>0.06+0.265+0.185+0.052</f>
        <v>0.562</v>
      </c>
      <c r="R38" s="603">
        <f>0.562</f>
        <v>0.562</v>
      </c>
      <c r="S38" s="603">
        <v>0.714</v>
      </c>
      <c r="T38" s="209">
        <f t="shared" si="3"/>
        <v>27.04626334519571</v>
      </c>
      <c r="U38" s="184" t="s">
        <v>213</v>
      </c>
    </row>
    <row r="39" spans="1:21" ht="12.75" customHeight="1">
      <c r="A39" s="8"/>
      <c r="B39" s="497" t="s">
        <v>1</v>
      </c>
      <c r="C39" s="592">
        <v>1.017</v>
      </c>
      <c r="D39" s="592">
        <v>0.469</v>
      </c>
      <c r="E39" s="592">
        <v>0.297</v>
      </c>
      <c r="F39" s="592"/>
      <c r="G39" s="592"/>
      <c r="H39" s="592"/>
      <c r="I39" s="592">
        <v>0.079</v>
      </c>
      <c r="J39" s="592">
        <v>2.447</v>
      </c>
      <c r="K39" s="597">
        <v>3.176</v>
      </c>
      <c r="L39" s="596">
        <v>6.429</v>
      </c>
      <c r="M39" s="592">
        <v>4.762</v>
      </c>
      <c r="N39" s="592">
        <v>3.15</v>
      </c>
      <c r="O39" s="592">
        <v>3.633</v>
      </c>
      <c r="P39" s="592">
        <v>3.393</v>
      </c>
      <c r="Q39" s="592">
        <v>2.786</v>
      </c>
      <c r="R39" s="592">
        <v>2.554</v>
      </c>
      <c r="S39" s="592">
        <v>2.391</v>
      </c>
      <c r="T39" s="156">
        <f t="shared" si="3"/>
        <v>-6.382145653876265</v>
      </c>
      <c r="U39" s="497" t="s">
        <v>1</v>
      </c>
    </row>
    <row r="40" spans="1:21" ht="12.75" customHeight="1">
      <c r="A40" s="8"/>
      <c r="B40" s="184" t="s">
        <v>212</v>
      </c>
      <c r="C40" s="603"/>
      <c r="D40" s="603"/>
      <c r="E40" s="603"/>
      <c r="F40" s="603"/>
      <c r="G40" s="603"/>
      <c r="H40" s="603"/>
      <c r="I40" s="603"/>
      <c r="J40" s="603"/>
      <c r="K40" s="603"/>
      <c r="L40" s="603"/>
      <c r="M40" s="603"/>
      <c r="N40" s="603">
        <v>8.007</v>
      </c>
      <c r="O40" s="603">
        <v>4.779</v>
      </c>
      <c r="P40" s="603">
        <v>5.109</v>
      </c>
      <c r="Q40" s="603">
        <v>4.883</v>
      </c>
      <c r="R40" s="603">
        <f>0.381+0.997+0.939+1.777</f>
        <v>4.094</v>
      </c>
      <c r="S40" s="603">
        <v>3.494</v>
      </c>
      <c r="T40" s="209">
        <f t="shared" si="3"/>
        <v>-14.655593551538843</v>
      </c>
      <c r="U40" s="184" t="s">
        <v>212</v>
      </c>
    </row>
    <row r="41" spans="1:21" ht="12.75" customHeight="1">
      <c r="A41" s="8"/>
      <c r="B41" s="498" t="s">
        <v>57</v>
      </c>
      <c r="C41" s="615"/>
      <c r="D41" s="616"/>
      <c r="E41" s="616"/>
      <c r="F41" s="616">
        <v>12.86</v>
      </c>
      <c r="G41" s="616">
        <v>21.521</v>
      </c>
      <c r="H41" s="616">
        <v>92.187</v>
      </c>
      <c r="I41" s="616">
        <v>227.657</v>
      </c>
      <c r="J41" s="616">
        <v>389.503</v>
      </c>
      <c r="K41" s="616">
        <v>191.81</v>
      </c>
      <c r="L41" s="616">
        <v>192.534</v>
      </c>
      <c r="M41" s="616">
        <v>141.663</v>
      </c>
      <c r="N41" s="616">
        <v>135.608</v>
      </c>
      <c r="O41" s="616">
        <v>199.083</v>
      </c>
      <c r="P41" s="616">
        <v>179.226</v>
      </c>
      <c r="Q41" s="616">
        <v>184.863</v>
      </c>
      <c r="R41" s="616">
        <v>178.199</v>
      </c>
      <c r="S41" s="616">
        <v>162.795</v>
      </c>
      <c r="T41" s="157">
        <f t="shared" si="3"/>
        <v>-8.644268486355159</v>
      </c>
      <c r="U41" s="498" t="s">
        <v>57</v>
      </c>
    </row>
    <row r="42" spans="1:21" ht="12.75" customHeight="1">
      <c r="A42" s="8"/>
      <c r="B42" s="184" t="s">
        <v>43</v>
      </c>
      <c r="C42" s="602"/>
      <c r="D42" s="603">
        <v>0.214</v>
      </c>
      <c r="E42" s="603">
        <v>0.197</v>
      </c>
      <c r="F42" s="603">
        <v>0.138</v>
      </c>
      <c r="G42" s="603">
        <v>0.225</v>
      </c>
      <c r="H42" s="603">
        <v>0.377</v>
      </c>
      <c r="I42" s="603">
        <v>1.08</v>
      </c>
      <c r="J42" s="603"/>
      <c r="K42" s="603"/>
      <c r="L42" s="603"/>
      <c r="M42" s="603"/>
      <c r="N42" s="603"/>
      <c r="O42" s="619"/>
      <c r="P42" s="619"/>
      <c r="Q42" s="603"/>
      <c r="R42" s="603"/>
      <c r="S42" s="603"/>
      <c r="T42" s="209"/>
      <c r="U42" s="184" t="s">
        <v>43</v>
      </c>
    </row>
    <row r="43" spans="1:21" ht="12.75" customHeight="1">
      <c r="A43" s="8"/>
      <c r="B43" s="497" t="s">
        <v>73</v>
      </c>
      <c r="C43" s="595"/>
      <c r="D43" s="592"/>
      <c r="E43" s="592"/>
      <c r="F43" s="592">
        <v>6.062</v>
      </c>
      <c r="G43" s="592">
        <v>5.494</v>
      </c>
      <c r="H43" s="592">
        <v>5.609</v>
      </c>
      <c r="I43" s="592">
        <v>6.217</v>
      </c>
      <c r="J43" s="592">
        <v>7.764</v>
      </c>
      <c r="K43" s="592">
        <v>9.591</v>
      </c>
      <c r="L43" s="592">
        <v>10.137</v>
      </c>
      <c r="M43" s="592">
        <v>7.616</v>
      </c>
      <c r="N43" s="592">
        <v>6.98</v>
      </c>
      <c r="O43" s="592">
        <v>6.548</v>
      </c>
      <c r="P43" s="592">
        <v>6.592</v>
      </c>
      <c r="Q43" s="592">
        <v>6.527</v>
      </c>
      <c r="R43" s="592">
        <v>6.777</v>
      </c>
      <c r="S43" s="592">
        <v>9.69</v>
      </c>
      <c r="T43" s="156">
        <f t="shared" si="3"/>
        <v>42.98362107127048</v>
      </c>
      <c r="U43" s="497" t="s">
        <v>73</v>
      </c>
    </row>
    <row r="44" spans="1:21" ht="12.75" customHeight="1">
      <c r="A44" s="8"/>
      <c r="B44" s="186" t="s">
        <v>44</v>
      </c>
      <c r="C44" s="610"/>
      <c r="D44" s="611">
        <v>30.585</v>
      </c>
      <c r="E44" s="611">
        <v>29.52</v>
      </c>
      <c r="F44" s="611">
        <v>27.491</v>
      </c>
      <c r="G44" s="611">
        <v>40.627</v>
      </c>
      <c r="H44" s="611">
        <v>42.522</v>
      </c>
      <c r="I44" s="611">
        <v>40.238</v>
      </c>
      <c r="J44" s="611">
        <v>40.666</v>
      </c>
      <c r="K44" s="611">
        <v>43.141</v>
      </c>
      <c r="L44" s="611">
        <v>43.779</v>
      </c>
      <c r="M44" s="611">
        <v>40.403</v>
      </c>
      <c r="N44" s="611">
        <v>38.236</v>
      </c>
      <c r="O44" s="611">
        <v>42.933</v>
      </c>
      <c r="P44" s="611">
        <v>44.545</v>
      </c>
      <c r="Q44" s="611">
        <v>42.804</v>
      </c>
      <c r="R44" s="611">
        <v>43.565</v>
      </c>
      <c r="S44" s="611">
        <v>47.661</v>
      </c>
      <c r="T44" s="210">
        <f t="shared" si="3"/>
        <v>9.402042924365901</v>
      </c>
      <c r="U44" s="186" t="s">
        <v>44</v>
      </c>
    </row>
    <row r="45" spans="1:19" ht="23.25" customHeight="1">
      <c r="A45" s="8"/>
      <c r="B45" s="1046" t="s">
        <v>232</v>
      </c>
      <c r="C45" s="1046"/>
      <c r="D45" s="1046"/>
      <c r="E45" s="1046"/>
      <c r="F45" s="1046"/>
      <c r="G45" s="1046"/>
      <c r="H45" s="1046"/>
      <c r="I45" s="1046"/>
      <c r="J45" s="1046"/>
      <c r="K45" s="1046"/>
      <c r="L45" s="1046"/>
      <c r="M45" s="1046"/>
      <c r="N45" s="1046"/>
      <c r="O45" s="1046"/>
      <c r="P45" s="1046"/>
      <c r="Q45" s="1046"/>
      <c r="R45" s="1046"/>
      <c r="S45" s="1046"/>
    </row>
    <row r="46" spans="1:19" ht="11.25" customHeight="1">
      <c r="A46" s="8"/>
      <c r="B46" s="1046" t="s">
        <v>183</v>
      </c>
      <c r="C46" s="1046"/>
      <c r="D46" s="1046"/>
      <c r="E46" s="1046"/>
      <c r="F46" s="1046"/>
      <c r="G46" s="1046"/>
      <c r="H46" s="1046"/>
      <c r="I46" s="1046"/>
      <c r="J46" s="1046"/>
      <c r="K46" s="1046"/>
      <c r="L46" s="1046"/>
      <c r="M46" s="1046"/>
      <c r="N46" s="1046"/>
      <c r="O46" s="1046"/>
      <c r="P46" s="1046"/>
      <c r="Q46" s="1046"/>
      <c r="R46" s="1046"/>
      <c r="S46" s="1046"/>
    </row>
    <row r="47" spans="1:16" ht="14.25" customHeight="1">
      <c r="A47" s="8"/>
      <c r="B47" s="14" t="s">
        <v>192</v>
      </c>
      <c r="C47" s="14"/>
      <c r="D47" s="14"/>
      <c r="E47" s="14"/>
      <c r="F47" s="14"/>
      <c r="G47" s="14"/>
      <c r="H47" s="14"/>
      <c r="I47" s="14"/>
      <c r="M47" s="714"/>
      <c r="N47" s="714"/>
      <c r="O47" s="714"/>
      <c r="P47" s="714"/>
    </row>
    <row r="48" spans="2:19" ht="13.5" customHeight="1">
      <c r="B48" s="1026" t="s">
        <v>184</v>
      </c>
      <c r="C48" s="1026"/>
      <c r="D48" s="1026"/>
      <c r="E48" s="1026"/>
      <c r="F48" s="1026"/>
      <c r="G48" s="1026"/>
      <c r="H48" s="1026"/>
      <c r="I48" s="1026"/>
      <c r="J48" s="1026"/>
      <c r="K48" s="1026"/>
      <c r="L48" s="1026"/>
      <c r="M48" s="1026"/>
      <c r="N48" s="1026"/>
      <c r="O48" s="1026"/>
      <c r="P48" s="1026"/>
      <c r="Q48" s="1026"/>
      <c r="R48" s="1026"/>
      <c r="S48" s="1026"/>
    </row>
  </sheetData>
  <sheetProtection/>
  <mergeCells count="5">
    <mergeCell ref="B46:S46"/>
    <mergeCell ref="B48:S48"/>
    <mergeCell ref="B3:S3"/>
    <mergeCell ref="B45:S45"/>
    <mergeCell ref="B2:U2"/>
  </mergeCells>
  <printOptions horizontalCentered="1"/>
  <pageMargins left="0.6692913385826772" right="0.6692913385826772" top="0.5118110236220472" bottom="0.2755905511811024" header="0" footer="0"/>
  <pageSetup fitToHeight="0" fitToWidth="1"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2">
    <pageSetUpPr fitToPage="1"/>
  </sheetPr>
  <dimension ref="A1:U46"/>
  <sheetViews>
    <sheetView zoomScalePageLayoutView="0" workbookViewId="0" topLeftCell="A1">
      <selection activeCell="X34" sqref="X34"/>
    </sheetView>
  </sheetViews>
  <sheetFormatPr defaultColWidth="9.140625" defaultRowHeight="12.75"/>
  <cols>
    <col min="1" max="1" width="3.7109375" style="0" customWidth="1"/>
    <col min="2" max="2" width="8.421875" style="5" customWidth="1"/>
    <col min="3" max="3" width="8.7109375" style="5" hidden="1" customWidth="1"/>
    <col min="4" max="15" width="8.7109375" style="5" customWidth="1"/>
    <col min="16" max="18" width="10.00390625" style="264" customWidth="1"/>
    <col min="19" max="19" width="7.8515625" style="264" customWidth="1"/>
    <col min="20" max="20" width="6.7109375" style="5" customWidth="1"/>
  </cols>
  <sheetData>
    <row r="1" spans="2:20" ht="14.25" customHeight="1">
      <c r="B1" s="254"/>
      <c r="C1" s="254"/>
      <c r="D1" s="254"/>
      <c r="E1" s="254"/>
      <c r="F1" s="254"/>
      <c r="J1" s="16"/>
      <c r="K1" s="16"/>
      <c r="L1" s="16"/>
      <c r="M1" s="16"/>
      <c r="N1" s="421"/>
      <c r="O1" s="452"/>
      <c r="P1" s="255"/>
      <c r="Q1" s="255"/>
      <c r="R1" s="255"/>
      <c r="S1" s="255"/>
      <c r="T1" s="16" t="s">
        <v>155</v>
      </c>
    </row>
    <row r="2" spans="2:20" s="44" customFormat="1" ht="30" customHeight="1">
      <c r="B2" s="1061" t="s">
        <v>93</v>
      </c>
      <c r="C2" s="1061"/>
      <c r="D2" s="1061"/>
      <c r="E2" s="1061"/>
      <c r="F2" s="1061"/>
      <c r="G2" s="1061"/>
      <c r="H2" s="1061"/>
      <c r="I2" s="1061"/>
      <c r="J2" s="1061"/>
      <c r="K2" s="1061"/>
      <c r="L2" s="1061"/>
      <c r="M2" s="1061"/>
      <c r="N2" s="1061"/>
      <c r="O2" s="1061"/>
      <c r="P2" s="1061"/>
      <c r="Q2" s="1061"/>
      <c r="R2" s="1061"/>
      <c r="S2" s="1061"/>
      <c r="T2" s="1061"/>
    </row>
    <row r="3" spans="2:20" ht="15" customHeight="1">
      <c r="B3" s="1062" t="s">
        <v>95</v>
      </c>
      <c r="C3" s="1062"/>
      <c r="D3" s="1062"/>
      <c r="E3" s="1062"/>
      <c r="F3" s="1062"/>
      <c r="G3" s="1062"/>
      <c r="H3" s="1062"/>
      <c r="I3" s="1062"/>
      <c r="J3" s="1062"/>
      <c r="K3" s="1062"/>
      <c r="L3" s="1062"/>
      <c r="M3" s="1062"/>
      <c r="N3" s="1062"/>
      <c r="O3" s="1062"/>
      <c r="P3" s="1062"/>
      <c r="Q3" s="1062"/>
      <c r="R3" s="1062"/>
      <c r="S3" s="1062"/>
      <c r="T3" s="1062"/>
    </row>
    <row r="4" spans="12:20" ht="12.75" customHeight="1">
      <c r="L4" s="7"/>
      <c r="M4" s="7"/>
      <c r="N4" s="7"/>
      <c r="O4" s="7"/>
      <c r="P4" s="7" t="s">
        <v>3</v>
      </c>
      <c r="Q4" s="7"/>
      <c r="R4" s="7"/>
      <c r="S4" s="7"/>
      <c r="T4" s="7"/>
    </row>
    <row r="5" spans="3:21" ht="37.5" customHeight="1">
      <c r="C5" s="58">
        <v>1995</v>
      </c>
      <c r="D5" s="58">
        <v>2000</v>
      </c>
      <c r="E5" s="59">
        <v>2001</v>
      </c>
      <c r="F5" s="59">
        <v>2002</v>
      </c>
      <c r="G5" s="59">
        <v>2003</v>
      </c>
      <c r="H5" s="59">
        <v>2004</v>
      </c>
      <c r="I5" s="59">
        <v>2005</v>
      </c>
      <c r="J5" s="59">
        <v>2006</v>
      </c>
      <c r="K5" s="59">
        <v>2007</v>
      </c>
      <c r="L5" s="59">
        <v>2008</v>
      </c>
      <c r="M5" s="59">
        <v>2009</v>
      </c>
      <c r="N5" s="59">
        <v>2010</v>
      </c>
      <c r="O5" s="59">
        <v>2011</v>
      </c>
      <c r="P5" s="59">
        <v>2012</v>
      </c>
      <c r="Q5" s="59">
        <v>2013</v>
      </c>
      <c r="R5" s="59">
        <v>2014</v>
      </c>
      <c r="S5" s="506">
        <v>2015</v>
      </c>
      <c r="T5" s="265" t="s">
        <v>257</v>
      </c>
      <c r="U5" s="266"/>
    </row>
    <row r="6" spans="2:21" ht="12.75" customHeight="1">
      <c r="B6" s="57" t="s">
        <v>222</v>
      </c>
      <c r="C6" s="267"/>
      <c r="D6" s="574"/>
      <c r="E6" s="574"/>
      <c r="F6" s="574"/>
      <c r="G6" s="574"/>
      <c r="H6" s="574"/>
      <c r="I6" s="574"/>
      <c r="J6" s="574"/>
      <c r="K6" s="574"/>
      <c r="L6" s="574"/>
      <c r="M6" s="575">
        <f>SUM(M9:M36)</f>
        <v>759.6444189540724</v>
      </c>
      <c r="N6" s="575">
        <f>SUM(N9:N36)</f>
        <v>646.6458148443736</v>
      </c>
      <c r="O6" s="575">
        <f>SUM(O9:O36)</f>
        <v>588.5572083159893</v>
      </c>
      <c r="P6" s="575">
        <f>SUM(P9:P36)</f>
        <v>493.42445515394917</v>
      </c>
      <c r="Q6" s="625">
        <f>SUM(Q9:Q36)</f>
        <v>395.52703709520955</v>
      </c>
      <c r="R6" s="625">
        <f>SUM(R9:R36)</f>
        <v>367.666659438104</v>
      </c>
      <c r="S6" s="948">
        <f>SUM(S9:S36)</f>
        <v>344.884334969525</v>
      </c>
      <c r="T6" s="945">
        <f>S6/R6*100-100</f>
        <v>-6.196461899318422</v>
      </c>
      <c r="U6" s="57" t="s">
        <v>222</v>
      </c>
    </row>
    <row r="7" spans="2:21" ht="12.75" customHeight="1">
      <c r="B7" s="55" t="s">
        <v>227</v>
      </c>
      <c r="C7" s="257"/>
      <c r="D7" s="624">
        <f aca="true" t="shared" si="0" ref="D7:L7">SUM(D9,D12:D13,D15:D18,D24,D27:D28,D30,D34:D36,D20)</f>
        <v>1094.8990000000001</v>
      </c>
      <c r="E7" s="624">
        <f t="shared" si="0"/>
        <v>856.197</v>
      </c>
      <c r="F7" s="624">
        <f t="shared" si="0"/>
        <v>732.502</v>
      </c>
      <c r="G7" s="624">
        <f t="shared" si="0"/>
        <v>714.225</v>
      </c>
      <c r="H7" s="624">
        <f t="shared" si="0"/>
        <v>663.2379999999999</v>
      </c>
      <c r="I7" s="624">
        <f t="shared" si="0"/>
        <v>673.019</v>
      </c>
      <c r="J7" s="624">
        <f t="shared" si="0"/>
        <v>747.764</v>
      </c>
      <c r="K7" s="624">
        <f t="shared" si="0"/>
        <v>789.4279999999999</v>
      </c>
      <c r="L7" s="624">
        <f t="shared" si="0"/>
        <v>715.883</v>
      </c>
      <c r="M7" s="624">
        <f>SUM(M9,M12:M13,M15:M18,M24,M27:M28,M30,M34:M36,M20)</f>
        <v>630.5629999999999</v>
      </c>
      <c r="N7" s="624">
        <f>SUM(N9,N12:N13,N15:N18,N24,N27:N28,N30,N34:N36,N20)</f>
        <v>551.533</v>
      </c>
      <c r="O7" s="624">
        <f>SUM(O9,O12:O13,O15:O18,O24,O27:O28,O30,O34:O36,O20)</f>
        <v>496.475</v>
      </c>
      <c r="P7" s="624">
        <f>SUM(P9,P12:P13,P15:P18,P24,P27:P28,P30,P34:P36,P20)</f>
        <v>411.41600000000005</v>
      </c>
      <c r="Q7" s="624">
        <f>SUM(Q9,Q12:Q13,Q15:Q18,Q24,Q27:Q28,Q30,Q34:Q36,Q20)</f>
        <v>328.886</v>
      </c>
      <c r="R7" s="625">
        <f>SUM(R9,R12:R13,R15:R18,R24,R27:R28,R30,R34:R36,R20)</f>
        <v>310.31800000000004</v>
      </c>
      <c r="S7" s="948">
        <f>SUM(S9,S12:S13,S15:S18,S24,S27:S28,S30,S34:S36,S20)</f>
        <v>300.17799999999994</v>
      </c>
      <c r="T7" s="946">
        <f>S7/R7*100-100</f>
        <v>-3.267615800565906</v>
      </c>
      <c r="U7" s="55" t="s">
        <v>227</v>
      </c>
    </row>
    <row r="8" spans="2:21" ht="12.75" customHeight="1">
      <c r="B8" s="56" t="s">
        <v>231</v>
      </c>
      <c r="C8" s="258"/>
      <c r="D8" s="627"/>
      <c r="E8" s="627"/>
      <c r="F8" s="627"/>
      <c r="G8" s="627"/>
      <c r="H8" s="627"/>
      <c r="I8" s="627"/>
      <c r="J8" s="627"/>
      <c r="K8" s="627"/>
      <c r="L8" s="627"/>
      <c r="M8" s="716">
        <f>M6-M7</f>
        <v>129.08141895407255</v>
      </c>
      <c r="N8" s="716">
        <f>N6-N7</f>
        <v>95.11281484437359</v>
      </c>
      <c r="O8" s="716">
        <f>O6-O7</f>
        <v>92.0822083159893</v>
      </c>
      <c r="P8" s="716">
        <f>P6-P7</f>
        <v>82.00845515394911</v>
      </c>
      <c r="Q8" s="625">
        <f>Q6-Q7</f>
        <v>66.64103709520953</v>
      </c>
      <c r="R8" s="625">
        <f>R6-R7</f>
        <v>57.34865943810394</v>
      </c>
      <c r="S8" s="948">
        <f>S6-S7</f>
        <v>44.706334969525074</v>
      </c>
      <c r="T8" s="947">
        <f aca="true" t="shared" si="1" ref="T8:T44">S8/R8*100-100</f>
        <v>-22.044673044578573</v>
      </c>
      <c r="U8" s="56" t="s">
        <v>231</v>
      </c>
    </row>
    <row r="9" spans="1:21" ht="12.75" customHeight="1">
      <c r="A9" s="8"/>
      <c r="B9" s="9" t="s">
        <v>62</v>
      </c>
      <c r="C9" s="259">
        <v>27.582</v>
      </c>
      <c r="D9" s="583">
        <v>33.191</v>
      </c>
      <c r="E9" s="583">
        <v>30.191</v>
      </c>
      <c r="F9" s="583">
        <v>26.651</v>
      </c>
      <c r="G9" s="583">
        <v>20.581</v>
      </c>
      <c r="H9" s="583">
        <v>17.751</v>
      </c>
      <c r="I9" s="583">
        <v>17.347</v>
      </c>
      <c r="J9" s="583">
        <v>20.279</v>
      </c>
      <c r="K9" s="583">
        <v>21.434</v>
      </c>
      <c r="L9" s="583">
        <v>19.614</v>
      </c>
      <c r="M9" s="583">
        <v>17.044</v>
      </c>
      <c r="N9" s="583">
        <v>14.209</v>
      </c>
      <c r="O9" s="583">
        <f>12.125</f>
        <v>12.125</v>
      </c>
      <c r="P9" s="583">
        <v>10.386</v>
      </c>
      <c r="Q9" s="583">
        <v>8.824</v>
      </c>
      <c r="R9" s="583">
        <v>10.936</v>
      </c>
      <c r="S9" s="645">
        <v>12.384</v>
      </c>
      <c r="T9" s="398">
        <f t="shared" si="1"/>
        <v>13.240673006583762</v>
      </c>
      <c r="U9" s="9" t="s">
        <v>62</v>
      </c>
    </row>
    <row r="10" spans="1:21" ht="12.75" customHeight="1">
      <c r="A10" s="8"/>
      <c r="B10" s="55" t="s">
        <v>45</v>
      </c>
      <c r="C10" s="260"/>
      <c r="D10" s="587">
        <v>2.052</v>
      </c>
      <c r="E10" s="587">
        <v>2.199</v>
      </c>
      <c r="F10" s="587">
        <v>2.412</v>
      </c>
      <c r="G10" s="587">
        <v>2.622</v>
      </c>
      <c r="H10" s="629">
        <f>AVERAGE(G10,I10)</f>
        <v>1.8435</v>
      </c>
      <c r="I10" s="587">
        <v>1.065</v>
      </c>
      <c r="J10" s="587">
        <v>1.489</v>
      </c>
      <c r="K10" s="587">
        <v>2.101</v>
      </c>
      <c r="L10" s="587">
        <v>3.965</v>
      </c>
      <c r="M10" s="587">
        <v>2.491</v>
      </c>
      <c r="N10" s="587">
        <v>2.147</v>
      </c>
      <c r="O10" s="587">
        <v>1.684</v>
      </c>
      <c r="P10" s="587">
        <v>1.727</v>
      </c>
      <c r="Q10" s="587">
        <v>1.272</v>
      </c>
      <c r="R10" s="587">
        <v>1.078</v>
      </c>
      <c r="S10" s="628">
        <v>0.807</v>
      </c>
      <c r="T10" s="424">
        <f t="shared" si="1"/>
        <v>-25.139146567718</v>
      </c>
      <c r="U10" s="55" t="s">
        <v>45</v>
      </c>
    </row>
    <row r="11" spans="1:21" ht="12.75" customHeight="1">
      <c r="A11" s="8"/>
      <c r="B11" s="10" t="s">
        <v>47</v>
      </c>
      <c r="C11" s="261"/>
      <c r="D11" s="592"/>
      <c r="E11" s="592"/>
      <c r="F11" s="592"/>
      <c r="G11" s="592">
        <v>7.724</v>
      </c>
      <c r="H11" s="592">
        <v>6.903</v>
      </c>
      <c r="I11" s="592">
        <v>8.017</v>
      </c>
      <c r="J11" s="592">
        <v>6.079</v>
      </c>
      <c r="K11" s="592">
        <v>6.121</v>
      </c>
      <c r="L11" s="592">
        <v>5.707</v>
      </c>
      <c r="M11" s="592">
        <v>4.327</v>
      </c>
      <c r="N11" s="592">
        <v>2.853</v>
      </c>
      <c r="O11" s="592">
        <f>2.142</f>
        <v>2.142</v>
      </c>
      <c r="P11" s="592">
        <v>2.342</v>
      </c>
      <c r="Q11" s="605">
        <f>AVERAGE(P11,S11)</f>
        <v>1.923</v>
      </c>
      <c r="R11" s="592">
        <v>1.806</v>
      </c>
      <c r="S11" s="598">
        <v>1.504</v>
      </c>
      <c r="T11" s="207">
        <f t="shared" si="1"/>
        <v>-16.722037652270217</v>
      </c>
      <c r="U11" s="10" t="s">
        <v>47</v>
      </c>
    </row>
    <row r="12" spans="1:21" ht="12.75" customHeight="1">
      <c r="A12" s="8"/>
      <c r="B12" s="55" t="s">
        <v>58</v>
      </c>
      <c r="C12" s="260">
        <v>10.818</v>
      </c>
      <c r="D12" s="587">
        <v>9.766</v>
      </c>
      <c r="E12" s="587">
        <v>6.796</v>
      </c>
      <c r="F12" s="587">
        <v>5.048</v>
      </c>
      <c r="G12" s="587">
        <v>3.758</v>
      </c>
      <c r="H12" s="587">
        <v>4.197</v>
      </c>
      <c r="I12" s="587">
        <v>4.916</v>
      </c>
      <c r="J12" s="587">
        <v>4.462</v>
      </c>
      <c r="K12" s="587">
        <v>4.518</v>
      </c>
      <c r="L12" s="587">
        <v>3.67</v>
      </c>
      <c r="M12" s="587">
        <v>17.509</v>
      </c>
      <c r="N12" s="587">
        <v>16.546</v>
      </c>
      <c r="O12" s="587">
        <v>12.114</v>
      </c>
      <c r="P12" s="587">
        <v>10.812</v>
      </c>
      <c r="Q12" s="587">
        <v>8.161</v>
      </c>
      <c r="R12" s="587">
        <v>7.609</v>
      </c>
      <c r="S12" s="628">
        <v>6.893</v>
      </c>
      <c r="T12" s="424">
        <f t="shared" si="1"/>
        <v>-9.409909317913005</v>
      </c>
      <c r="U12" s="55" t="s">
        <v>58</v>
      </c>
    </row>
    <row r="13" spans="1:21" ht="12.75" customHeight="1">
      <c r="A13" s="8"/>
      <c r="B13" s="10" t="s">
        <v>63</v>
      </c>
      <c r="C13" s="261">
        <v>124.497</v>
      </c>
      <c r="D13" s="592">
        <v>108.671</v>
      </c>
      <c r="E13" s="592">
        <v>112.322</v>
      </c>
      <c r="F13" s="592">
        <v>94.577</v>
      </c>
      <c r="G13" s="592">
        <v>93.02</v>
      </c>
      <c r="H13" s="592">
        <v>81.28</v>
      </c>
      <c r="I13" s="592">
        <v>97.333</v>
      </c>
      <c r="J13" s="592">
        <v>109.906</v>
      </c>
      <c r="K13" s="592">
        <v>94.215</v>
      </c>
      <c r="L13" s="592">
        <v>79.56</v>
      </c>
      <c r="M13" s="592">
        <v>74.688</v>
      </c>
      <c r="N13" s="592">
        <v>64.939</v>
      </c>
      <c r="O13" s="592">
        <f>57.367</f>
        <v>57.367</v>
      </c>
      <c r="P13" s="592">
        <v>50.59</v>
      </c>
      <c r="Q13" s="592">
        <v>41.36</v>
      </c>
      <c r="R13" s="592">
        <v>34.203</v>
      </c>
      <c r="S13" s="598">
        <v>32.638</v>
      </c>
      <c r="T13" s="207">
        <f t="shared" si="1"/>
        <v>-4.57562202146012</v>
      </c>
      <c r="U13" s="10" t="s">
        <v>63</v>
      </c>
    </row>
    <row r="14" spans="1:21" ht="12.75" customHeight="1">
      <c r="A14" s="8"/>
      <c r="B14" s="55" t="s">
        <v>48</v>
      </c>
      <c r="C14" s="260"/>
      <c r="D14" s="587"/>
      <c r="E14" s="587"/>
      <c r="F14" s="587"/>
      <c r="G14" s="587"/>
      <c r="H14" s="587">
        <v>6.903</v>
      </c>
      <c r="I14" s="587">
        <v>8.017</v>
      </c>
      <c r="J14" s="587">
        <v>6.079</v>
      </c>
      <c r="K14" s="587">
        <v>6.121</v>
      </c>
      <c r="L14" s="587">
        <v>5.707</v>
      </c>
      <c r="M14" s="600">
        <v>0.023</v>
      </c>
      <c r="N14" s="587">
        <v>0.016</v>
      </c>
      <c r="O14" s="587">
        <f>0.003</f>
        <v>0.003</v>
      </c>
      <c r="P14" s="600">
        <v>0.662</v>
      </c>
      <c r="Q14" s="587">
        <v>0.662</v>
      </c>
      <c r="R14" s="587">
        <v>0.749</v>
      </c>
      <c r="S14" s="628">
        <v>0.685</v>
      </c>
      <c r="T14" s="424">
        <f t="shared" si="1"/>
        <v>-8.544726301735636</v>
      </c>
      <c r="U14" s="55" t="s">
        <v>48</v>
      </c>
    </row>
    <row r="15" spans="1:21" ht="12.75" customHeight="1">
      <c r="A15" s="8"/>
      <c r="B15" s="10" t="s">
        <v>66</v>
      </c>
      <c r="C15" s="261">
        <v>0.437</v>
      </c>
      <c r="D15" s="592">
        <v>3.023</v>
      </c>
      <c r="E15" s="592">
        <v>2.214</v>
      </c>
      <c r="F15" s="592">
        <v>2.349</v>
      </c>
      <c r="G15" s="592">
        <v>2.14</v>
      </c>
      <c r="H15" s="592">
        <v>1.299</v>
      </c>
      <c r="I15" s="592">
        <v>0.849</v>
      </c>
      <c r="J15" s="592">
        <v>0.698</v>
      </c>
      <c r="K15" s="592">
        <v>0.641</v>
      </c>
      <c r="L15" s="592">
        <v>0.549</v>
      </c>
      <c r="M15" s="592">
        <v>0.447</v>
      </c>
      <c r="N15" s="592">
        <v>0.206</v>
      </c>
      <c r="O15" s="592">
        <f>0.201</f>
        <v>0.201</v>
      </c>
      <c r="P15" s="592">
        <v>0.181</v>
      </c>
      <c r="Q15" s="592">
        <v>0.169</v>
      </c>
      <c r="R15" s="592">
        <v>0.141</v>
      </c>
      <c r="S15" s="598">
        <v>0.227</v>
      </c>
      <c r="T15" s="207">
        <f t="shared" si="1"/>
        <v>60.992907801418454</v>
      </c>
      <c r="U15" s="10" t="s">
        <v>66</v>
      </c>
    </row>
    <row r="16" spans="1:21" ht="12.75" customHeight="1">
      <c r="A16" s="8"/>
      <c r="B16" s="55" t="s">
        <v>59</v>
      </c>
      <c r="C16" s="260">
        <v>13.5</v>
      </c>
      <c r="D16" s="587">
        <v>19.243</v>
      </c>
      <c r="E16" s="587">
        <v>21.149</v>
      </c>
      <c r="F16" s="587">
        <v>20.221</v>
      </c>
      <c r="G16" s="587">
        <v>20.921</v>
      </c>
      <c r="H16" s="587">
        <v>21.856</v>
      </c>
      <c r="I16" s="587">
        <v>24.107</v>
      </c>
      <c r="J16" s="587">
        <v>36.295</v>
      </c>
      <c r="K16" s="587">
        <v>21.899</v>
      </c>
      <c r="L16" s="587">
        <v>25.01</v>
      </c>
      <c r="M16" s="587">
        <v>20.387</v>
      </c>
      <c r="N16" s="587">
        <v>18.858</v>
      </c>
      <c r="O16" s="587">
        <f>17.257</f>
        <v>17.257</v>
      </c>
      <c r="P16" s="587">
        <v>13.276</v>
      </c>
      <c r="Q16" s="587">
        <v>8.614</v>
      </c>
      <c r="R16" s="629">
        <f>AVERAGE(S16,Q16)</f>
        <v>8.059000000000001</v>
      </c>
      <c r="S16" s="628">
        <v>7.504</v>
      </c>
      <c r="T16" s="949">
        <f t="shared" si="1"/>
        <v>-6.886710509988845</v>
      </c>
      <c r="U16" s="55" t="s">
        <v>59</v>
      </c>
    </row>
    <row r="17" spans="1:21" ht="12.75" customHeight="1">
      <c r="A17" s="8"/>
      <c r="B17" s="10" t="s">
        <v>64</v>
      </c>
      <c r="C17" s="261">
        <v>155.23</v>
      </c>
      <c r="D17" s="592">
        <v>248.633</v>
      </c>
      <c r="E17" s="592">
        <v>176.489</v>
      </c>
      <c r="F17" s="592">
        <v>113.756</v>
      </c>
      <c r="G17" s="592">
        <v>110.421</v>
      </c>
      <c r="H17" s="592">
        <v>118.128</v>
      </c>
      <c r="I17" s="592">
        <v>115.142</v>
      </c>
      <c r="J17" s="592">
        <v>137.46</v>
      </c>
      <c r="K17" s="592">
        <v>125.862</v>
      </c>
      <c r="L17" s="592">
        <v>84.222</v>
      </c>
      <c r="M17" s="592">
        <v>43.954</v>
      </c>
      <c r="N17" s="592">
        <v>34.187</v>
      </c>
      <c r="O17" s="592">
        <f>23.26</f>
        <v>23.26</v>
      </c>
      <c r="P17" s="592">
        <v>18.711</v>
      </c>
      <c r="Q17" s="592">
        <v>15.416</v>
      </c>
      <c r="R17" s="592">
        <v>14.81</v>
      </c>
      <c r="S17" s="598">
        <v>15.956</v>
      </c>
      <c r="T17" s="207">
        <f t="shared" si="1"/>
        <v>7.73801485482781</v>
      </c>
      <c r="U17" s="10" t="s">
        <v>64</v>
      </c>
    </row>
    <row r="18" spans="1:21" ht="12.75" customHeight="1">
      <c r="A18" s="8"/>
      <c r="B18" s="55" t="s">
        <v>65</v>
      </c>
      <c r="C18" s="260">
        <v>218.198</v>
      </c>
      <c r="D18" s="587">
        <v>192.273</v>
      </c>
      <c r="E18" s="587">
        <v>184.666</v>
      </c>
      <c r="F18" s="587">
        <v>166.124</v>
      </c>
      <c r="G18" s="587">
        <v>166.127</v>
      </c>
      <c r="H18" s="587">
        <v>166.003</v>
      </c>
      <c r="I18" s="587">
        <v>154.922</v>
      </c>
      <c r="J18" s="587">
        <v>184.869</v>
      </c>
      <c r="K18" s="587">
        <v>209.451</v>
      </c>
      <c r="L18" s="587">
        <v>190.315</v>
      </c>
      <c r="M18" s="587">
        <v>156.963</v>
      </c>
      <c r="N18" s="587">
        <v>144.467</v>
      </c>
      <c r="O18" s="587">
        <f>146.442</f>
        <v>146.442</v>
      </c>
      <c r="P18" s="587">
        <v>127.201</v>
      </c>
      <c r="Q18" s="587">
        <v>106.054</v>
      </c>
      <c r="R18" s="587">
        <v>98.178</v>
      </c>
      <c r="S18" s="628">
        <v>89.646</v>
      </c>
      <c r="T18" s="424">
        <f t="shared" si="1"/>
        <v>-8.690337957587232</v>
      </c>
      <c r="U18" s="55" t="s">
        <v>65</v>
      </c>
    </row>
    <row r="19" spans="1:21" ht="12.75" customHeight="1">
      <c r="A19" s="8"/>
      <c r="B19" s="10" t="s">
        <v>76</v>
      </c>
      <c r="C19" s="261"/>
      <c r="D19" s="592"/>
      <c r="E19" s="592"/>
      <c r="F19" s="592"/>
      <c r="G19" s="592"/>
      <c r="H19" s="592"/>
      <c r="I19" s="592">
        <v>13.233</v>
      </c>
      <c r="J19" s="592">
        <v>15.228</v>
      </c>
      <c r="K19" s="592">
        <v>18.159</v>
      </c>
      <c r="L19" s="592">
        <v>19.785</v>
      </c>
      <c r="M19" s="592">
        <v>10.57</v>
      </c>
      <c r="N19" s="592">
        <v>6.442</v>
      </c>
      <c r="O19" s="592">
        <f>5.352</f>
        <v>5.352</v>
      </c>
      <c r="P19" s="592">
        <v>4.05</v>
      </c>
      <c r="Q19" s="592">
        <v>3.119</v>
      </c>
      <c r="R19" s="592">
        <v>3.403</v>
      </c>
      <c r="S19" s="598">
        <v>2.622</v>
      </c>
      <c r="T19" s="207">
        <f t="shared" si="1"/>
        <v>-22.950337937114313</v>
      </c>
      <c r="U19" s="10" t="s">
        <v>76</v>
      </c>
    </row>
    <row r="20" spans="1:21" ht="12.75" customHeight="1">
      <c r="A20" s="8"/>
      <c r="B20" s="184" t="s">
        <v>67</v>
      </c>
      <c r="C20" s="463">
        <v>575.112</v>
      </c>
      <c r="D20" s="603">
        <v>311.836</v>
      </c>
      <c r="E20" s="603">
        <v>175.543</v>
      </c>
      <c r="F20" s="603">
        <v>166.755</v>
      </c>
      <c r="G20" s="603">
        <v>161.893</v>
      </c>
      <c r="H20" s="603">
        <v>132.367</v>
      </c>
      <c r="I20" s="603">
        <v>128.284</v>
      </c>
      <c r="J20" s="603">
        <v>109.85</v>
      </c>
      <c r="K20" s="603">
        <v>130.696</v>
      </c>
      <c r="L20" s="603">
        <v>123.11</v>
      </c>
      <c r="M20" s="603">
        <v>114.368</v>
      </c>
      <c r="N20" s="603">
        <v>88.434</v>
      </c>
      <c r="O20" s="603">
        <f>75.354</f>
        <v>75.354</v>
      </c>
      <c r="P20" s="603">
        <v>51.717</v>
      </c>
      <c r="Q20" s="603">
        <v>33.575</v>
      </c>
      <c r="R20" s="603">
        <v>28.37</v>
      </c>
      <c r="S20" s="646">
        <v>24.627</v>
      </c>
      <c r="T20" s="206">
        <f t="shared" si="1"/>
        <v>-13.193514275643295</v>
      </c>
      <c r="U20" s="184" t="s">
        <v>67</v>
      </c>
    </row>
    <row r="21" spans="1:21" ht="12.75" customHeight="1">
      <c r="A21" s="8"/>
      <c r="B21" s="10" t="s">
        <v>46</v>
      </c>
      <c r="C21" s="261"/>
      <c r="D21" s="592"/>
      <c r="E21" s="592"/>
      <c r="F21" s="592">
        <v>2.315</v>
      </c>
      <c r="G21" s="592">
        <v>2.652</v>
      </c>
      <c r="H21" s="592">
        <v>2.412</v>
      </c>
      <c r="I21" s="592">
        <v>2.08</v>
      </c>
      <c r="J21" s="592">
        <v>1.739</v>
      </c>
      <c r="K21" s="592">
        <v>1.747</v>
      </c>
      <c r="L21" s="592">
        <v>1.731</v>
      </c>
      <c r="M21" s="592">
        <v>1.416</v>
      </c>
      <c r="N21" s="592">
        <v>0.457</v>
      </c>
      <c r="O21" s="592">
        <f>0.447</f>
        <v>0.447</v>
      </c>
      <c r="P21" s="592">
        <v>0.264</v>
      </c>
      <c r="Q21" s="592">
        <v>0.207</v>
      </c>
      <c r="R21" s="592">
        <v>0.197</v>
      </c>
      <c r="S21" s="598">
        <v>0.154</v>
      </c>
      <c r="T21" s="207">
        <f t="shared" si="1"/>
        <v>-21.827411167512693</v>
      </c>
      <c r="U21" s="10" t="s">
        <v>46</v>
      </c>
    </row>
    <row r="22" spans="1:21" ht="12.75" customHeight="1">
      <c r="A22" s="8"/>
      <c r="B22" s="184" t="s">
        <v>50</v>
      </c>
      <c r="C22" s="463"/>
      <c r="D22" s="603"/>
      <c r="E22" s="603"/>
      <c r="F22" s="603"/>
      <c r="G22" s="603"/>
      <c r="H22" s="603">
        <v>0.457</v>
      </c>
      <c r="I22" s="603">
        <v>0.637</v>
      </c>
      <c r="J22" s="603">
        <v>1.711</v>
      </c>
      <c r="K22" s="603">
        <v>3.464</v>
      </c>
      <c r="L22" s="603">
        <v>3.73</v>
      </c>
      <c r="M22" s="603">
        <v>0.649</v>
      </c>
      <c r="N22" s="603">
        <v>0.97</v>
      </c>
      <c r="O22" s="603">
        <f>1.343</f>
        <v>1.343</v>
      </c>
      <c r="P22" s="603">
        <v>1.654</v>
      </c>
      <c r="Q22" s="603">
        <v>1.556</v>
      </c>
      <c r="R22" s="603">
        <v>1.212</v>
      </c>
      <c r="S22" s="646">
        <v>0.999</v>
      </c>
      <c r="T22" s="206">
        <f t="shared" si="1"/>
        <v>-17.574257425742573</v>
      </c>
      <c r="U22" s="184" t="s">
        <v>50</v>
      </c>
    </row>
    <row r="23" spans="1:21" ht="12.75" customHeight="1">
      <c r="A23" s="8"/>
      <c r="B23" s="10" t="s">
        <v>51</v>
      </c>
      <c r="C23" s="261"/>
      <c r="D23" s="592"/>
      <c r="E23" s="592"/>
      <c r="F23" s="592"/>
      <c r="G23" s="592"/>
      <c r="H23" s="592"/>
      <c r="I23" s="592"/>
      <c r="J23" s="592"/>
      <c r="K23" s="592"/>
      <c r="L23" s="592">
        <v>5.404</v>
      </c>
      <c r="M23" s="592">
        <v>3.499</v>
      </c>
      <c r="N23" s="592">
        <v>1.18</v>
      </c>
      <c r="O23" s="592">
        <f>1.319</f>
        <v>1.319</v>
      </c>
      <c r="P23" s="592">
        <v>0.969</v>
      </c>
      <c r="Q23" s="592">
        <v>0.987</v>
      </c>
      <c r="R23" s="592">
        <v>0.925</v>
      </c>
      <c r="S23" s="598">
        <v>0.73</v>
      </c>
      <c r="T23" s="207">
        <f t="shared" si="1"/>
        <v>-21.081081081081095</v>
      </c>
      <c r="U23" s="10" t="s">
        <v>51</v>
      </c>
    </row>
    <row r="24" spans="1:21" ht="12.75" customHeight="1">
      <c r="A24" s="8"/>
      <c r="B24" s="184" t="s">
        <v>68</v>
      </c>
      <c r="C24" s="463"/>
      <c r="D24" s="603">
        <v>0.454</v>
      </c>
      <c r="E24" s="603">
        <v>0.437</v>
      </c>
      <c r="F24" s="603">
        <v>0.483</v>
      </c>
      <c r="G24" s="603">
        <v>0.63</v>
      </c>
      <c r="H24" s="603">
        <v>0.552</v>
      </c>
      <c r="I24" s="603">
        <v>0.528</v>
      </c>
      <c r="J24" s="603">
        <v>0.657</v>
      </c>
      <c r="K24" s="603">
        <v>0.604</v>
      </c>
      <c r="L24" s="603">
        <v>0.677</v>
      </c>
      <c r="M24" s="603">
        <v>0.645</v>
      </c>
      <c r="N24" s="603">
        <v>0.699</v>
      </c>
      <c r="O24" s="603">
        <f>0.884</f>
        <v>0.884</v>
      </c>
      <c r="P24" s="603">
        <v>0.976</v>
      </c>
      <c r="Q24" s="603">
        <v>1.076</v>
      </c>
      <c r="R24" s="603">
        <v>1.008</v>
      </c>
      <c r="S24" s="646">
        <v>0.924</v>
      </c>
      <c r="T24" s="206">
        <f t="shared" si="1"/>
        <v>-8.333333333333329</v>
      </c>
      <c r="U24" s="184" t="s">
        <v>68</v>
      </c>
    </row>
    <row r="25" spans="1:21" ht="12.75" customHeight="1">
      <c r="A25" s="8"/>
      <c r="B25" s="10" t="s">
        <v>49</v>
      </c>
      <c r="C25" s="261"/>
      <c r="D25" s="592"/>
      <c r="E25" s="592"/>
      <c r="F25" s="592"/>
      <c r="G25" s="592"/>
      <c r="H25" s="592"/>
      <c r="I25" s="592"/>
      <c r="J25" s="592"/>
      <c r="K25" s="592"/>
      <c r="L25" s="605">
        <v>11.088659415107342</v>
      </c>
      <c r="M25" s="605">
        <v>5.4334189540724775</v>
      </c>
      <c r="N25" s="605">
        <v>3.555814844373504</v>
      </c>
      <c r="O25" s="605">
        <v>2.942208315989085</v>
      </c>
      <c r="P25" s="605">
        <v>3.1834551539491303</v>
      </c>
      <c r="Q25" s="605">
        <v>3.3980370952094967</v>
      </c>
      <c r="R25" s="605">
        <f>AVERAGE(N25:P25)</f>
        <v>3.227159438103906</v>
      </c>
      <c r="S25" s="649">
        <f>AVERAGE(N25:R25)</f>
        <v>3.2613349695250244</v>
      </c>
      <c r="T25" s="435">
        <f t="shared" si="1"/>
        <v>1.058997303250635</v>
      </c>
      <c r="U25" s="10" t="s">
        <v>49</v>
      </c>
    </row>
    <row r="26" spans="1:21" ht="12.75" customHeight="1">
      <c r="A26" s="8"/>
      <c r="B26" s="184" t="s">
        <v>52</v>
      </c>
      <c r="C26" s="463"/>
      <c r="D26" s="603"/>
      <c r="E26" s="603"/>
      <c r="F26" s="603"/>
      <c r="G26" s="603"/>
      <c r="H26" s="603"/>
      <c r="I26" s="603"/>
      <c r="J26" s="603"/>
      <c r="K26" s="603"/>
      <c r="L26" s="609"/>
      <c r="M26" s="609"/>
      <c r="N26" s="609"/>
      <c r="O26" s="609"/>
      <c r="P26" s="609"/>
      <c r="Q26" s="1007">
        <v>0.016</v>
      </c>
      <c r="R26" s="1008">
        <v>0.024</v>
      </c>
      <c r="S26" s="646">
        <v>0.036</v>
      </c>
      <c r="T26" s="209">
        <f t="shared" si="1"/>
        <v>49.99999999999997</v>
      </c>
      <c r="U26" s="184" t="s">
        <v>52</v>
      </c>
    </row>
    <row r="27" spans="1:21" ht="12.75" customHeight="1">
      <c r="A27" s="8"/>
      <c r="B27" s="10" t="s">
        <v>60</v>
      </c>
      <c r="C27" s="261">
        <v>59.153</v>
      </c>
      <c r="D27" s="592">
        <v>66.941</v>
      </c>
      <c r="E27" s="592">
        <v>56.206</v>
      </c>
      <c r="F27" s="592">
        <v>53.857</v>
      </c>
      <c r="G27" s="592">
        <v>45.878</v>
      </c>
      <c r="H27" s="592">
        <v>39.131</v>
      </c>
      <c r="I27" s="592">
        <v>40.858</v>
      </c>
      <c r="J27" s="592">
        <v>48.776</v>
      </c>
      <c r="K27" s="592">
        <v>57.427</v>
      </c>
      <c r="L27" s="592">
        <v>69.594</v>
      </c>
      <c r="M27" s="592">
        <v>93.821</v>
      </c>
      <c r="N27" s="592">
        <v>93.717</v>
      </c>
      <c r="O27" s="592">
        <f>82.146</f>
        <v>82.146</v>
      </c>
      <c r="P27" s="592">
        <v>68.493</v>
      </c>
      <c r="Q27" s="592">
        <v>59.353</v>
      </c>
      <c r="R27" s="592">
        <v>62.947</v>
      </c>
      <c r="S27" s="598">
        <v>65.937</v>
      </c>
      <c r="T27" s="207">
        <f t="shared" si="1"/>
        <v>4.750027801166041</v>
      </c>
      <c r="U27" s="10" t="s">
        <v>60</v>
      </c>
    </row>
    <row r="28" spans="1:21" ht="12.75" customHeight="1">
      <c r="A28" s="8"/>
      <c r="B28" s="184" t="s">
        <v>69</v>
      </c>
      <c r="C28" s="463">
        <v>10.742</v>
      </c>
      <c r="D28" s="603">
        <v>21.335</v>
      </c>
      <c r="E28" s="603">
        <v>20.459</v>
      </c>
      <c r="F28" s="603">
        <v>16.278</v>
      </c>
      <c r="G28" s="603">
        <v>19.914</v>
      </c>
      <c r="H28" s="603">
        <v>21.711</v>
      </c>
      <c r="I28" s="603">
        <v>27.728</v>
      </c>
      <c r="J28" s="603">
        <v>28.292</v>
      </c>
      <c r="K28" s="603">
        <v>30.933</v>
      </c>
      <c r="L28" s="603">
        <v>30.97</v>
      </c>
      <c r="M28" s="603">
        <v>26.057</v>
      </c>
      <c r="N28" s="603">
        <v>24.906</v>
      </c>
      <c r="O28" s="603">
        <f>23.916</f>
        <v>23.916</v>
      </c>
      <c r="P28" s="603">
        <v>21.095</v>
      </c>
      <c r="Q28" s="603">
        <v>16.927</v>
      </c>
      <c r="R28" s="603">
        <v>15.192</v>
      </c>
      <c r="S28" s="646">
        <v>13.76</v>
      </c>
      <c r="T28" s="206">
        <f t="shared" si="1"/>
        <v>-9.426013691416529</v>
      </c>
      <c r="U28" s="184" t="s">
        <v>69</v>
      </c>
    </row>
    <row r="29" spans="1:21" ht="12.75" customHeight="1">
      <c r="A29" s="8"/>
      <c r="B29" s="10" t="s">
        <v>53</v>
      </c>
      <c r="C29" s="261"/>
      <c r="D29" s="592"/>
      <c r="E29" s="592"/>
      <c r="F29" s="592"/>
      <c r="G29" s="592"/>
      <c r="H29" s="592"/>
      <c r="I29" s="592">
        <v>23.309</v>
      </c>
      <c r="J29" s="592">
        <v>43.57</v>
      </c>
      <c r="K29" s="592">
        <v>91.913</v>
      </c>
      <c r="L29" s="592">
        <v>135.994</v>
      </c>
      <c r="M29" s="592">
        <v>94.031</v>
      </c>
      <c r="N29" s="592">
        <v>72.186</v>
      </c>
      <c r="O29" s="592">
        <f>69.26</f>
        <v>69.26</v>
      </c>
      <c r="P29" s="592">
        <v>59.991</v>
      </c>
      <c r="Q29" s="592">
        <v>48.749</v>
      </c>
      <c r="R29" s="592">
        <v>40.715</v>
      </c>
      <c r="S29" s="598">
        <v>30.431</v>
      </c>
      <c r="T29" s="207">
        <f t="shared" si="1"/>
        <v>-25.258504236767777</v>
      </c>
      <c r="U29" s="10" t="s">
        <v>53</v>
      </c>
    </row>
    <row r="30" spans="1:21" ht="12.75" customHeight="1">
      <c r="A30" s="8"/>
      <c r="B30" s="184" t="s">
        <v>70</v>
      </c>
      <c r="C30" s="463">
        <v>42</v>
      </c>
      <c r="D30" s="603">
        <v>14.969</v>
      </c>
      <c r="E30" s="603">
        <v>7.636</v>
      </c>
      <c r="F30" s="603"/>
      <c r="G30" s="603"/>
      <c r="H30" s="603"/>
      <c r="I30" s="603"/>
      <c r="J30" s="603">
        <v>1.982</v>
      </c>
      <c r="K30" s="603">
        <v>7.886</v>
      </c>
      <c r="L30" s="603">
        <v>7.236</v>
      </c>
      <c r="M30" s="603">
        <v>5.693</v>
      </c>
      <c r="N30" s="603">
        <v>4.646</v>
      </c>
      <c r="O30" s="603">
        <f>3.791</f>
        <v>3.791</v>
      </c>
      <c r="P30" s="603">
        <v>3.233</v>
      </c>
      <c r="Q30" s="603">
        <v>2.451</v>
      </c>
      <c r="R30" s="603">
        <v>2.317</v>
      </c>
      <c r="S30" s="646">
        <v>2.594</v>
      </c>
      <c r="T30" s="206">
        <f t="shared" si="1"/>
        <v>11.955114372032781</v>
      </c>
      <c r="U30" s="184" t="s">
        <v>70</v>
      </c>
    </row>
    <row r="31" spans="1:21" ht="12.75" customHeight="1">
      <c r="A31" s="8"/>
      <c r="B31" s="10" t="s">
        <v>54</v>
      </c>
      <c r="C31" s="261"/>
      <c r="D31" s="592"/>
      <c r="E31" s="592"/>
      <c r="F31" s="592"/>
      <c r="G31" s="592"/>
      <c r="H31" s="592"/>
      <c r="I31" s="592"/>
      <c r="J31" s="592"/>
      <c r="K31" s="592"/>
      <c r="L31" s="605"/>
      <c r="M31" s="605"/>
      <c r="N31" s="605"/>
      <c r="O31" s="592">
        <v>2.523</v>
      </c>
      <c r="P31" s="592">
        <v>2.976</v>
      </c>
      <c r="Q31" s="592">
        <v>1.524</v>
      </c>
      <c r="R31" s="605">
        <f>AVERAGE(S31,Q31)</f>
        <v>1.0925</v>
      </c>
      <c r="S31" s="598">
        <v>0.661</v>
      </c>
      <c r="T31" s="435">
        <f t="shared" si="1"/>
        <v>-39.496567505720826</v>
      </c>
      <c r="U31" s="10" t="s">
        <v>54</v>
      </c>
    </row>
    <row r="32" spans="1:21" ht="12.75" customHeight="1">
      <c r="A32" s="8"/>
      <c r="B32" s="184" t="s">
        <v>56</v>
      </c>
      <c r="C32" s="463"/>
      <c r="D32" s="603"/>
      <c r="E32" s="603"/>
      <c r="F32" s="603">
        <v>1.741</v>
      </c>
      <c r="G32" s="603">
        <v>1.398</v>
      </c>
      <c r="H32" s="603">
        <v>2.215</v>
      </c>
      <c r="I32" s="603">
        <v>3.121</v>
      </c>
      <c r="J32" s="603">
        <v>4.689</v>
      </c>
      <c r="K32" s="603">
        <v>5.735</v>
      </c>
      <c r="L32" s="603">
        <v>5.86</v>
      </c>
      <c r="M32" s="603">
        <v>4.566</v>
      </c>
      <c r="N32" s="603">
        <v>3.474</v>
      </c>
      <c r="O32" s="603">
        <f>3.455</f>
        <v>3.455</v>
      </c>
      <c r="P32" s="603">
        <v>2.678</v>
      </c>
      <c r="Q32" s="603">
        <v>2.238</v>
      </c>
      <c r="R32" s="587">
        <v>2.194</v>
      </c>
      <c r="S32" s="646">
        <v>2.264</v>
      </c>
      <c r="T32" s="206">
        <f t="shared" si="1"/>
        <v>3.190519598906107</v>
      </c>
      <c r="U32" s="184" t="s">
        <v>56</v>
      </c>
    </row>
    <row r="33" spans="1:21" ht="12.75" customHeight="1">
      <c r="A33" s="8"/>
      <c r="B33" s="10" t="s">
        <v>55</v>
      </c>
      <c r="C33" s="261"/>
      <c r="D33" s="592"/>
      <c r="E33" s="592"/>
      <c r="F33" s="592"/>
      <c r="G33" s="592"/>
      <c r="H33" s="592">
        <v>1.763</v>
      </c>
      <c r="I33" s="592">
        <v>2.037</v>
      </c>
      <c r="J33" s="592">
        <v>2.577</v>
      </c>
      <c r="K33" s="592">
        <v>3.017</v>
      </c>
      <c r="L33" s="592">
        <v>2.616</v>
      </c>
      <c r="M33" s="592">
        <v>2.076</v>
      </c>
      <c r="N33" s="592">
        <v>1.832</v>
      </c>
      <c r="O33" s="592">
        <f>1.612</f>
        <v>1.612</v>
      </c>
      <c r="P33" s="592">
        <v>1.512</v>
      </c>
      <c r="Q33" s="592">
        <v>0.99</v>
      </c>
      <c r="R33" s="592">
        <v>0.726</v>
      </c>
      <c r="S33" s="598">
        <v>0.552</v>
      </c>
      <c r="T33" s="207">
        <f t="shared" si="1"/>
        <v>-23.966942148760324</v>
      </c>
      <c r="U33" s="10" t="s">
        <v>55</v>
      </c>
    </row>
    <row r="34" spans="1:21" ht="12.75" customHeight="1">
      <c r="A34" s="8"/>
      <c r="B34" s="184" t="s">
        <v>71</v>
      </c>
      <c r="C34" s="463"/>
      <c r="D34" s="603">
        <v>6.423</v>
      </c>
      <c r="E34" s="603">
        <v>6.705</v>
      </c>
      <c r="F34" s="603">
        <v>8.835</v>
      </c>
      <c r="G34" s="603">
        <v>12.751</v>
      </c>
      <c r="H34" s="603">
        <v>17.808</v>
      </c>
      <c r="I34" s="603">
        <v>20.895</v>
      </c>
      <c r="J34" s="603">
        <v>25.693</v>
      </c>
      <c r="K34" s="603">
        <v>27.448</v>
      </c>
      <c r="L34" s="603">
        <v>25.255</v>
      </c>
      <c r="M34" s="603">
        <v>21.1</v>
      </c>
      <c r="N34" s="603">
        <v>17.936</v>
      </c>
      <c r="O34" s="603">
        <f>17.25</f>
        <v>17.25</v>
      </c>
      <c r="P34" s="603">
        <v>12.547</v>
      </c>
      <c r="Q34" s="603">
        <v>8.26</v>
      </c>
      <c r="R34" s="603">
        <v>7.238</v>
      </c>
      <c r="S34" s="646">
        <v>7.004</v>
      </c>
      <c r="T34" s="206">
        <f t="shared" si="1"/>
        <v>-3.232937275490471</v>
      </c>
      <c r="U34" s="184" t="s">
        <v>71</v>
      </c>
    </row>
    <row r="35" spans="1:21" ht="12.75" customHeight="1">
      <c r="A35" s="8"/>
      <c r="B35" s="10" t="s">
        <v>72</v>
      </c>
      <c r="C35" s="261">
        <v>5.7</v>
      </c>
      <c r="D35" s="592">
        <v>9.977</v>
      </c>
      <c r="E35" s="592">
        <v>10.01</v>
      </c>
      <c r="F35" s="592">
        <v>21.297</v>
      </c>
      <c r="G35" s="592">
        <v>19.846</v>
      </c>
      <c r="H35" s="592">
        <v>13.608</v>
      </c>
      <c r="I35" s="592">
        <v>15.365</v>
      </c>
      <c r="J35" s="592">
        <v>14.995</v>
      </c>
      <c r="K35" s="592">
        <v>31.852</v>
      </c>
      <c r="L35" s="592">
        <v>31.148</v>
      </c>
      <c r="M35" s="592">
        <v>21.443</v>
      </c>
      <c r="N35" s="592">
        <v>13.253</v>
      </c>
      <c r="O35" s="592">
        <v>9.902</v>
      </c>
      <c r="P35" s="592">
        <v>8.776</v>
      </c>
      <c r="Q35" s="592">
        <v>7.916</v>
      </c>
      <c r="R35" s="592">
        <v>8.682</v>
      </c>
      <c r="S35" s="598">
        <v>10.682</v>
      </c>
      <c r="T35" s="207">
        <f t="shared" si="1"/>
        <v>23.0361667818475</v>
      </c>
      <c r="U35" s="10" t="s">
        <v>72</v>
      </c>
    </row>
    <row r="36" spans="1:21" ht="12.75" customHeight="1">
      <c r="A36" s="8"/>
      <c r="B36" s="186" t="s">
        <v>61</v>
      </c>
      <c r="C36" s="464">
        <v>6.292</v>
      </c>
      <c r="D36" s="611">
        <v>48.164</v>
      </c>
      <c r="E36" s="611">
        <v>45.374</v>
      </c>
      <c r="F36" s="611">
        <v>36.271</v>
      </c>
      <c r="G36" s="611">
        <v>36.345</v>
      </c>
      <c r="H36" s="611">
        <v>27.547</v>
      </c>
      <c r="I36" s="611">
        <v>24.745</v>
      </c>
      <c r="J36" s="611">
        <v>23.55</v>
      </c>
      <c r="K36" s="611">
        <v>24.562</v>
      </c>
      <c r="L36" s="611">
        <v>24.953</v>
      </c>
      <c r="M36" s="611">
        <v>16.444</v>
      </c>
      <c r="N36" s="611">
        <v>14.53</v>
      </c>
      <c r="O36" s="611">
        <f>14.466</f>
        <v>14.466</v>
      </c>
      <c r="P36" s="611">
        <v>13.422</v>
      </c>
      <c r="Q36" s="611">
        <v>10.73</v>
      </c>
      <c r="R36" s="611">
        <v>10.628</v>
      </c>
      <c r="S36" s="648">
        <v>9.402</v>
      </c>
      <c r="T36" s="208">
        <f t="shared" si="1"/>
        <v>-11.535566428302602</v>
      </c>
      <c r="U36" s="186" t="s">
        <v>61</v>
      </c>
    </row>
    <row r="37" spans="1:21" s="493" customFormat="1" ht="12.75" customHeight="1">
      <c r="A37" s="8"/>
      <c r="B37" s="496" t="s">
        <v>221</v>
      </c>
      <c r="C37" s="259"/>
      <c r="D37" s="583"/>
      <c r="E37" s="583"/>
      <c r="F37" s="583"/>
      <c r="G37" s="583"/>
      <c r="H37" s="583"/>
      <c r="I37" s="583"/>
      <c r="J37" s="583"/>
      <c r="K37" s="583"/>
      <c r="L37" s="583"/>
      <c r="M37" s="583"/>
      <c r="N37" s="583"/>
      <c r="O37" s="583"/>
      <c r="P37" s="583"/>
      <c r="Q37" s="583"/>
      <c r="R37" s="583"/>
      <c r="S37" s="645"/>
      <c r="T37" s="398"/>
      <c r="U37" s="496" t="s">
        <v>221</v>
      </c>
    </row>
    <row r="38" spans="1:21" ht="12.75" customHeight="1">
      <c r="A38" s="8"/>
      <c r="B38" s="184" t="s">
        <v>213</v>
      </c>
      <c r="C38" s="463"/>
      <c r="D38" s="603"/>
      <c r="E38" s="603"/>
      <c r="F38" s="603"/>
      <c r="G38" s="603"/>
      <c r="H38" s="603"/>
      <c r="I38" s="603"/>
      <c r="J38" s="603"/>
      <c r="K38" s="603"/>
      <c r="L38" s="603"/>
      <c r="M38" s="603"/>
      <c r="N38" s="603"/>
      <c r="O38" s="603"/>
      <c r="P38" s="603"/>
      <c r="Q38" s="603"/>
      <c r="R38" s="603"/>
      <c r="S38" s="646"/>
      <c r="T38" s="206"/>
      <c r="U38" s="184" t="s">
        <v>213</v>
      </c>
    </row>
    <row r="39" spans="1:21" ht="12.75" customHeight="1">
      <c r="A39" s="8"/>
      <c r="B39" s="497" t="s">
        <v>1</v>
      </c>
      <c r="C39" s="261"/>
      <c r="D39" s="592"/>
      <c r="E39" s="592"/>
      <c r="F39" s="592"/>
      <c r="G39" s="592"/>
      <c r="H39" s="592"/>
      <c r="I39" s="592"/>
      <c r="J39" s="592"/>
      <c r="K39" s="592"/>
      <c r="L39" s="592"/>
      <c r="M39" s="592"/>
      <c r="N39" s="592"/>
      <c r="O39" s="592"/>
      <c r="P39" s="592"/>
      <c r="Q39" s="592"/>
      <c r="R39" s="592"/>
      <c r="S39" s="598"/>
      <c r="T39" s="399"/>
      <c r="U39" s="497" t="s">
        <v>1</v>
      </c>
    </row>
    <row r="40" spans="1:21" ht="12.75" customHeight="1">
      <c r="A40" s="8"/>
      <c r="B40" s="184" t="s">
        <v>212</v>
      </c>
      <c r="C40" s="463"/>
      <c r="D40" s="603"/>
      <c r="E40" s="603"/>
      <c r="F40" s="603"/>
      <c r="G40" s="603"/>
      <c r="H40" s="603"/>
      <c r="I40" s="603"/>
      <c r="J40" s="603"/>
      <c r="K40" s="603"/>
      <c r="L40" s="603"/>
      <c r="M40" s="603"/>
      <c r="N40" s="603">
        <v>8.783</v>
      </c>
      <c r="O40" s="603">
        <v>6.25</v>
      </c>
      <c r="P40" s="603">
        <v>6.622</v>
      </c>
      <c r="Q40" s="603">
        <v>5.655</v>
      </c>
      <c r="R40" s="603">
        <f>0.532+1.338+1.134+1.935</f>
        <v>4.939</v>
      </c>
      <c r="S40" s="646">
        <v>3.19</v>
      </c>
      <c r="T40" s="206">
        <f t="shared" si="1"/>
        <v>-35.41202672605792</v>
      </c>
      <c r="U40" s="184" t="s">
        <v>212</v>
      </c>
    </row>
    <row r="41" spans="1:21" ht="12.75" customHeight="1">
      <c r="A41" s="8"/>
      <c r="B41" s="498" t="s">
        <v>57</v>
      </c>
      <c r="C41" s="263"/>
      <c r="D41" s="616"/>
      <c r="E41" s="616"/>
      <c r="F41" s="616"/>
      <c r="G41" s="616"/>
      <c r="H41" s="616"/>
      <c r="I41" s="616"/>
      <c r="J41" s="616"/>
      <c r="K41" s="616"/>
      <c r="L41" s="616"/>
      <c r="M41" s="616">
        <v>2.441</v>
      </c>
      <c r="N41" s="616">
        <v>1.507</v>
      </c>
      <c r="O41" s="616">
        <f>1.537</f>
        <v>1.537</v>
      </c>
      <c r="P41" s="616">
        <v>0.624</v>
      </c>
      <c r="Q41" s="616">
        <v>0.644</v>
      </c>
      <c r="R41" s="616">
        <v>1.811</v>
      </c>
      <c r="S41" s="651">
        <v>2.332</v>
      </c>
      <c r="T41" s="231">
        <f t="shared" si="1"/>
        <v>28.76863611264494</v>
      </c>
      <c r="U41" s="498" t="s">
        <v>57</v>
      </c>
    </row>
    <row r="42" spans="1:21" ht="12.75" customHeight="1">
      <c r="A42" s="8"/>
      <c r="B42" s="182" t="s">
        <v>43</v>
      </c>
      <c r="C42" s="653"/>
      <c r="D42" s="619"/>
      <c r="E42" s="619"/>
      <c r="F42" s="619"/>
      <c r="G42" s="619"/>
      <c r="H42" s="619"/>
      <c r="I42" s="619"/>
      <c r="J42" s="619"/>
      <c r="K42" s="619"/>
      <c r="L42" s="619"/>
      <c r="M42" s="619"/>
      <c r="N42" s="619"/>
      <c r="O42" s="619"/>
      <c r="P42" s="619"/>
      <c r="Q42" s="603"/>
      <c r="R42" s="603"/>
      <c r="S42" s="646"/>
      <c r="T42" s="206"/>
      <c r="U42" s="182" t="s">
        <v>43</v>
      </c>
    </row>
    <row r="43" spans="1:21" ht="12.75" customHeight="1">
      <c r="A43" s="8"/>
      <c r="B43" s="497" t="s">
        <v>73</v>
      </c>
      <c r="C43" s="261"/>
      <c r="D43" s="592"/>
      <c r="E43" s="592"/>
      <c r="F43" s="592">
        <v>13.64</v>
      </c>
      <c r="G43" s="592">
        <v>15.009</v>
      </c>
      <c r="H43" s="592">
        <v>16.37</v>
      </c>
      <c r="I43" s="592">
        <v>11.857</v>
      </c>
      <c r="J43" s="592">
        <v>11.02</v>
      </c>
      <c r="K43" s="592">
        <v>10.534</v>
      </c>
      <c r="L43" s="592">
        <v>11.438</v>
      </c>
      <c r="M43" s="592">
        <v>9.033</v>
      </c>
      <c r="N43" s="592">
        <v>8.058</v>
      </c>
      <c r="O43" s="592">
        <f>8.453</f>
        <v>8.453</v>
      </c>
      <c r="P43" s="592">
        <v>8.99</v>
      </c>
      <c r="Q43" s="592">
        <v>7.541</v>
      </c>
      <c r="R43" s="592">
        <v>7.383</v>
      </c>
      <c r="S43" s="598">
        <v>7.355</v>
      </c>
      <c r="T43" s="207">
        <f t="shared" si="1"/>
        <v>-0.37924962752268243</v>
      </c>
      <c r="U43" s="497" t="s">
        <v>73</v>
      </c>
    </row>
    <row r="44" spans="1:21" ht="12.75" customHeight="1">
      <c r="A44" s="8"/>
      <c r="B44" s="186" t="s">
        <v>44</v>
      </c>
      <c r="C44" s="464"/>
      <c r="D44" s="611">
        <v>19.358</v>
      </c>
      <c r="E44" s="611">
        <v>19.43</v>
      </c>
      <c r="F44" s="611">
        <v>18.425</v>
      </c>
      <c r="G44" s="611">
        <v>6.642</v>
      </c>
      <c r="H44" s="611">
        <v>3.434</v>
      </c>
      <c r="I44" s="611">
        <v>3.086</v>
      </c>
      <c r="J44" s="611">
        <v>3.014</v>
      </c>
      <c r="K44" s="611">
        <v>2.738</v>
      </c>
      <c r="L44" s="611">
        <v>3.127</v>
      </c>
      <c r="M44" s="611">
        <v>2.863</v>
      </c>
      <c r="N44" s="611">
        <v>3.099</v>
      </c>
      <c r="O44" s="611">
        <v>2.308</v>
      </c>
      <c r="P44" s="611">
        <v>1.874</v>
      </c>
      <c r="Q44" s="611">
        <v>1.13</v>
      </c>
      <c r="R44" s="611">
        <v>0.865</v>
      </c>
      <c r="S44" s="648">
        <v>0.83</v>
      </c>
      <c r="T44" s="208">
        <f t="shared" si="1"/>
        <v>-4.04624277456648</v>
      </c>
      <c r="U44" s="186" t="s">
        <v>44</v>
      </c>
    </row>
    <row r="45" spans="2:20" ht="24" customHeight="1">
      <c r="B45" s="1030" t="s">
        <v>234</v>
      </c>
      <c r="C45" s="1030"/>
      <c r="D45" s="1030"/>
      <c r="E45" s="1030"/>
      <c r="F45" s="1030"/>
      <c r="G45" s="1030"/>
      <c r="H45" s="1030"/>
      <c r="I45" s="1030"/>
      <c r="J45" s="1030"/>
      <c r="K45" s="1030"/>
      <c r="L45" s="1030"/>
      <c r="M45" s="1030"/>
      <c r="N45" s="1030"/>
      <c r="O45" s="1030"/>
      <c r="P45" s="1030"/>
      <c r="Q45" s="1030"/>
      <c r="R45" s="1030"/>
      <c r="S45" s="1030"/>
      <c r="T45" s="1030"/>
    </row>
    <row r="46" ht="14.25" customHeight="1">
      <c r="B46" s="14" t="s">
        <v>192</v>
      </c>
    </row>
  </sheetData>
  <sheetProtection/>
  <mergeCells count="3">
    <mergeCell ref="B2:T2"/>
    <mergeCell ref="B3:T3"/>
    <mergeCell ref="B45:T45"/>
  </mergeCells>
  <printOptions horizontalCentered="1"/>
  <pageMargins left="0.6692913385826772" right="0.28" top="0.5118110236220472" bottom="0.2755905511811024" header="0" footer="0"/>
  <pageSetup fitToHeight="1" fitToWidth="1"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3"/>
  <dimension ref="A1:Q54"/>
  <sheetViews>
    <sheetView zoomScalePageLayoutView="0" workbookViewId="0" topLeftCell="A1">
      <selection activeCell="N26" sqref="N26"/>
    </sheetView>
  </sheetViews>
  <sheetFormatPr defaultColWidth="9.140625" defaultRowHeight="12.75"/>
  <cols>
    <col min="1" max="1" width="3.7109375" style="22" customWidth="1"/>
    <col min="2" max="2" width="4.140625" style="3" customWidth="1"/>
    <col min="3" max="3" width="10.8515625" style="3" bestFit="1" customWidth="1"/>
    <col min="4" max="4" width="10.00390625" style="3" customWidth="1"/>
    <col min="5" max="10" width="8.7109375" style="3" customWidth="1"/>
    <col min="11" max="11" width="4.57421875" style="3" customWidth="1"/>
    <col min="12" max="16384" width="9.140625" style="3" customWidth="1"/>
  </cols>
  <sheetData>
    <row r="1" spans="1:11" ht="14.25" customHeight="1">
      <c r="A1" s="28"/>
      <c r="B1" s="29"/>
      <c r="C1" s="29"/>
      <c r="D1" s="29"/>
      <c r="E1" s="29"/>
      <c r="F1" s="29"/>
      <c r="G1" s="29"/>
      <c r="H1" s="29"/>
      <c r="I1" s="29"/>
      <c r="K1" s="16" t="s">
        <v>156</v>
      </c>
    </row>
    <row r="2" spans="1:11" s="61" customFormat="1" ht="30" customHeight="1">
      <c r="A2" s="100"/>
      <c r="B2" s="1024" t="s">
        <v>19</v>
      </c>
      <c r="C2" s="1024"/>
      <c r="D2" s="1024"/>
      <c r="E2" s="1024"/>
      <c r="F2" s="1024"/>
      <c r="G2" s="1024"/>
      <c r="H2" s="1024"/>
      <c r="I2" s="1024"/>
      <c r="J2" s="1024"/>
      <c r="K2" s="1024"/>
    </row>
    <row r="3" spans="1:11" s="14" customFormat="1" ht="15" customHeight="1">
      <c r="A3" s="34"/>
      <c r="B3" s="1029" t="s">
        <v>205</v>
      </c>
      <c r="C3" s="1029"/>
      <c r="D3" s="1029"/>
      <c r="E3" s="1029"/>
      <c r="F3" s="1029"/>
      <c r="G3" s="1029"/>
      <c r="H3" s="1029"/>
      <c r="I3" s="1029"/>
      <c r="J3" s="1029"/>
      <c r="K3" s="1029"/>
    </row>
    <row r="4" spans="1:11" s="14" customFormat="1" ht="12.75" customHeight="1">
      <c r="A4" s="34"/>
      <c r="B4" s="1064" t="s">
        <v>262</v>
      </c>
      <c r="C4" s="1064"/>
      <c r="D4" s="1064"/>
      <c r="E4" s="1064"/>
      <c r="F4" s="1064"/>
      <c r="G4" s="1064"/>
      <c r="H4" s="1064"/>
      <c r="I4" s="1064"/>
      <c r="J4" s="1064"/>
      <c r="K4" s="1064"/>
    </row>
    <row r="5" spans="3:11" ht="30" customHeight="1">
      <c r="C5" s="1053" t="s">
        <v>20</v>
      </c>
      <c r="D5" s="1055"/>
      <c r="E5" s="1053" t="s">
        <v>206</v>
      </c>
      <c r="F5" s="1055"/>
      <c r="G5" s="1053" t="s">
        <v>208</v>
      </c>
      <c r="H5" s="1055"/>
      <c r="I5" s="1053" t="s">
        <v>210</v>
      </c>
      <c r="J5" s="1055"/>
      <c r="K5" s="63"/>
    </row>
    <row r="6" spans="1:11" ht="15" customHeight="1">
      <c r="A6" s="3"/>
      <c r="B6" s="4"/>
      <c r="C6" s="64" t="s">
        <v>21</v>
      </c>
      <c r="D6" s="268" t="s">
        <v>22</v>
      </c>
      <c r="E6" s="64" t="s">
        <v>21</v>
      </c>
      <c r="F6" s="268" t="s">
        <v>22</v>
      </c>
      <c r="G6" s="64" t="s">
        <v>21</v>
      </c>
      <c r="H6" s="268" t="s">
        <v>22</v>
      </c>
      <c r="I6" s="64" t="s">
        <v>21</v>
      </c>
      <c r="J6" s="269" t="s">
        <v>22</v>
      </c>
      <c r="K6" s="270"/>
    </row>
    <row r="7" spans="1:17" ht="12.75" customHeight="1">
      <c r="A7" s="3"/>
      <c r="B7" s="54" t="s">
        <v>222</v>
      </c>
      <c r="C7" s="550">
        <f aca="true" t="shared" si="0" ref="C7:H7">SUM(C10:C37)</f>
        <v>13340</v>
      </c>
      <c r="D7" s="271">
        <f t="shared" si="0"/>
        <v>625.7110000000001</v>
      </c>
      <c r="E7" s="550">
        <f t="shared" si="0"/>
        <v>3300</v>
      </c>
      <c r="F7" s="271">
        <f t="shared" si="0"/>
        <v>139.34800000000004</v>
      </c>
      <c r="G7" s="550">
        <f t="shared" si="0"/>
        <v>10040</v>
      </c>
      <c r="H7" s="271">
        <f t="shared" si="0"/>
        <v>486.366</v>
      </c>
      <c r="I7" s="427"/>
      <c r="J7" s="428"/>
      <c r="K7" s="54" t="s">
        <v>222</v>
      </c>
      <c r="L7" s="43"/>
      <c r="Q7" s="995"/>
    </row>
    <row r="8" spans="1:12" ht="12.75" customHeight="1">
      <c r="A8" s="8"/>
      <c r="B8" s="53" t="s">
        <v>227</v>
      </c>
      <c r="C8" s="550">
        <f>SUM(C10,C13:C14,C16:C19,C25,C28:C29,C31,C35:C37,C21)</f>
        <v>12633</v>
      </c>
      <c r="D8" s="271">
        <f>SUM(D10,D13:D14,D16:D19,D25,D28:D29,D31,D35:D37,D21)</f>
        <v>611.2439999999999</v>
      </c>
      <c r="E8" s="550">
        <f>SUM(E10,E13:E14,E16:E19,E25,E28:E29,E31,E35:E37,E21)</f>
        <v>3106</v>
      </c>
      <c r="F8" s="271">
        <f>SUM(F10,F13:F14,F16:F19,F25,F28:F29,F31,F35:F37,F21)</f>
        <v>135.501</v>
      </c>
      <c r="G8" s="550">
        <f>SUM(G10,G13:G14,G16:G19,G25,G28:G29,G31,G35:G37,G21)</f>
        <v>9527</v>
      </c>
      <c r="H8" s="271">
        <f>SUM(H10,H13:H14,H16:H19,H25,H28:H29,H31,H35:H37,H21)</f>
        <v>475.745</v>
      </c>
      <c r="I8" s="429"/>
      <c r="J8" s="430"/>
      <c r="K8" s="53" t="s">
        <v>227</v>
      </c>
      <c r="L8" s="43"/>
    </row>
    <row r="9" spans="1:17" ht="12.75" customHeight="1">
      <c r="A9" s="8"/>
      <c r="B9" s="56" t="s">
        <v>231</v>
      </c>
      <c r="C9" s="553">
        <f>C7-C8</f>
        <v>707</v>
      </c>
      <c r="D9" s="272">
        <f>D7-D8</f>
        <v>14.467000000000212</v>
      </c>
      <c r="E9" s="553">
        <f>E7-E8</f>
        <v>194</v>
      </c>
      <c r="F9" s="272">
        <f>F7-F8</f>
        <v>3.847000000000037</v>
      </c>
      <c r="G9" s="553">
        <f>G7-G8</f>
        <v>513</v>
      </c>
      <c r="H9" s="272">
        <f>H7-H8</f>
        <v>10.620999999999981</v>
      </c>
      <c r="I9" s="431"/>
      <c r="J9" s="431"/>
      <c r="K9" s="56" t="s">
        <v>231</v>
      </c>
      <c r="L9" s="43"/>
      <c r="Q9" s="995"/>
    </row>
    <row r="10" spans="1:17" ht="12.75" customHeight="1">
      <c r="A10" s="8"/>
      <c r="B10" s="274" t="s">
        <v>62</v>
      </c>
      <c r="C10" s="845">
        <v>196</v>
      </c>
      <c r="D10" s="278">
        <v>20.068</v>
      </c>
      <c r="E10" s="845">
        <v>66</v>
      </c>
      <c r="F10" s="278">
        <v>7.186</v>
      </c>
      <c r="G10" s="845">
        <v>130</v>
      </c>
      <c r="H10" s="278">
        <v>12.883</v>
      </c>
      <c r="I10" s="282">
        <f aca="true" t="shared" si="1" ref="I10:J24">G10/C10</f>
        <v>0.6632653061224489</v>
      </c>
      <c r="J10" s="285">
        <f t="shared" si="1"/>
        <v>0.6419673111421167</v>
      </c>
      <c r="K10" s="274" t="s">
        <v>62</v>
      </c>
      <c r="P10" s="971"/>
      <c r="Q10" s="971"/>
    </row>
    <row r="11" spans="1:17" ht="12.75" customHeight="1">
      <c r="A11" s="8"/>
      <c r="B11" s="275" t="s">
        <v>45</v>
      </c>
      <c r="C11" s="846">
        <v>70</v>
      </c>
      <c r="D11" s="279">
        <v>1.276</v>
      </c>
      <c r="E11" s="846">
        <v>14</v>
      </c>
      <c r="F11" s="279">
        <v>0.103</v>
      </c>
      <c r="G11" s="846">
        <v>56</v>
      </c>
      <c r="H11" s="279">
        <v>1.173</v>
      </c>
      <c r="I11" s="283">
        <f t="shared" si="1"/>
        <v>0.8</v>
      </c>
      <c r="J11" s="286">
        <f t="shared" si="1"/>
        <v>0.9192789968652038</v>
      </c>
      <c r="K11" s="275" t="s">
        <v>45</v>
      </c>
      <c r="P11" s="971"/>
      <c r="Q11" s="971"/>
    </row>
    <row r="12" spans="1:17" ht="12.75" customHeight="1">
      <c r="A12" s="8"/>
      <c r="B12" s="276" t="s">
        <v>47</v>
      </c>
      <c r="C12" s="847" t="s">
        <v>75</v>
      </c>
      <c r="D12" s="280" t="s">
        <v>75</v>
      </c>
      <c r="E12" s="847" t="s">
        <v>75</v>
      </c>
      <c r="F12" s="280" t="s">
        <v>75</v>
      </c>
      <c r="G12" s="847" t="s">
        <v>75</v>
      </c>
      <c r="H12" s="280" t="s">
        <v>75</v>
      </c>
      <c r="I12" s="426" t="s">
        <v>75</v>
      </c>
      <c r="J12" s="287" t="s">
        <v>75</v>
      </c>
      <c r="K12" s="276" t="s">
        <v>47</v>
      </c>
      <c r="P12" s="971"/>
      <c r="Q12" s="971"/>
    </row>
    <row r="13" spans="1:17" ht="12.75" customHeight="1">
      <c r="A13" s="8"/>
      <c r="B13" s="275" t="s">
        <v>58</v>
      </c>
      <c r="C13" s="846">
        <v>862</v>
      </c>
      <c r="D13" s="279">
        <v>37.726</v>
      </c>
      <c r="E13" s="846">
        <v>329</v>
      </c>
      <c r="F13" s="279">
        <v>15.774</v>
      </c>
      <c r="G13" s="846">
        <v>533</v>
      </c>
      <c r="H13" s="279">
        <v>21.953</v>
      </c>
      <c r="I13" s="283">
        <f t="shared" si="1"/>
        <v>0.6183294663573086</v>
      </c>
      <c r="J13" s="286">
        <f t="shared" si="1"/>
        <v>0.5819063775645443</v>
      </c>
      <c r="K13" s="275" t="s">
        <v>58</v>
      </c>
      <c r="P13" s="971"/>
      <c r="Q13" s="971"/>
    </row>
    <row r="14" spans="1:17" ht="12.75" customHeight="1">
      <c r="A14" s="8"/>
      <c r="B14" s="276" t="s">
        <v>63</v>
      </c>
      <c r="C14" s="847">
        <v>3456</v>
      </c>
      <c r="D14" s="280">
        <v>120.793</v>
      </c>
      <c r="E14" s="847">
        <v>217</v>
      </c>
      <c r="F14" s="280">
        <v>11.251</v>
      </c>
      <c r="G14" s="847">
        <v>3239</v>
      </c>
      <c r="H14" s="280">
        <v>109.542</v>
      </c>
      <c r="I14" s="284">
        <f t="shared" si="1"/>
        <v>0.9372106481481481</v>
      </c>
      <c r="J14" s="287">
        <f t="shared" si="1"/>
        <v>0.9068571854329307</v>
      </c>
      <c r="K14" s="276" t="s">
        <v>63</v>
      </c>
      <c r="P14" s="971"/>
      <c r="Q14" s="971"/>
    </row>
    <row r="15" spans="1:17" ht="12.75" customHeight="1">
      <c r="A15" s="8"/>
      <c r="B15" s="275" t="s">
        <v>48</v>
      </c>
      <c r="C15" s="846">
        <v>64</v>
      </c>
      <c r="D15" s="279">
        <v>0.245</v>
      </c>
      <c r="E15" s="846">
        <v>10</v>
      </c>
      <c r="F15" s="279">
        <v>0.018</v>
      </c>
      <c r="G15" s="846">
        <v>54</v>
      </c>
      <c r="H15" s="279">
        <v>0.227</v>
      </c>
      <c r="I15" s="283">
        <f t="shared" si="1"/>
        <v>0.84375</v>
      </c>
      <c r="J15" s="286">
        <f t="shared" si="1"/>
        <v>0.926530612244898</v>
      </c>
      <c r="K15" s="275" t="s">
        <v>48</v>
      </c>
      <c r="P15" s="971"/>
      <c r="Q15" s="971"/>
    </row>
    <row r="16" spans="1:17" ht="12.75" customHeight="1">
      <c r="A16" s="8"/>
      <c r="B16" s="276" t="s">
        <v>66</v>
      </c>
      <c r="C16" s="847">
        <v>86</v>
      </c>
      <c r="D16" s="280">
        <v>1.433</v>
      </c>
      <c r="E16" s="847">
        <v>31</v>
      </c>
      <c r="F16" s="280">
        <v>0.287</v>
      </c>
      <c r="G16" s="847">
        <v>55</v>
      </c>
      <c r="H16" s="280">
        <v>1.146</v>
      </c>
      <c r="I16" s="284">
        <f t="shared" si="1"/>
        <v>0.6395348837209303</v>
      </c>
      <c r="J16" s="287">
        <f t="shared" si="1"/>
        <v>0.7997208653175156</v>
      </c>
      <c r="K16" s="276" t="s">
        <v>66</v>
      </c>
      <c r="P16" s="971"/>
      <c r="Q16" s="971"/>
    </row>
    <row r="17" spans="1:17" ht="12.75" customHeight="1">
      <c r="A17" s="8"/>
      <c r="B17" s="275" t="s">
        <v>59</v>
      </c>
      <c r="C17" s="846">
        <v>4439</v>
      </c>
      <c r="D17" s="279">
        <v>324.406</v>
      </c>
      <c r="E17" s="846">
        <v>750</v>
      </c>
      <c r="F17" s="279">
        <v>68.784</v>
      </c>
      <c r="G17" s="846">
        <v>3689</v>
      </c>
      <c r="H17" s="279">
        <v>255.622</v>
      </c>
      <c r="I17" s="283">
        <f t="shared" si="1"/>
        <v>0.8310430277089434</v>
      </c>
      <c r="J17" s="286">
        <f t="shared" si="1"/>
        <v>0.7879693963736799</v>
      </c>
      <c r="K17" s="275" t="s">
        <v>59</v>
      </c>
      <c r="P17" s="971"/>
      <c r="Q17" s="971"/>
    </row>
    <row r="18" spans="1:17" ht="12.75" customHeight="1">
      <c r="A18" s="8"/>
      <c r="B18" s="276" t="s">
        <v>64</v>
      </c>
      <c r="C18" s="847">
        <v>176</v>
      </c>
      <c r="D18" s="280">
        <v>2.45</v>
      </c>
      <c r="E18" s="847">
        <v>90</v>
      </c>
      <c r="F18" s="280">
        <v>0.501</v>
      </c>
      <c r="G18" s="847">
        <v>86</v>
      </c>
      <c r="H18" s="280">
        <v>1.949</v>
      </c>
      <c r="I18" s="284">
        <f t="shared" si="1"/>
        <v>0.48863636363636365</v>
      </c>
      <c r="J18" s="287">
        <f t="shared" si="1"/>
        <v>0.7955102040816326</v>
      </c>
      <c r="K18" s="276" t="s">
        <v>64</v>
      </c>
      <c r="P18" s="971"/>
      <c r="Q18" s="971"/>
    </row>
    <row r="19" spans="1:17" ht="12.75" customHeight="1">
      <c r="A19" s="8"/>
      <c r="B19" s="275" t="s">
        <v>65</v>
      </c>
      <c r="C19" s="846">
        <v>281</v>
      </c>
      <c r="D19" s="279">
        <v>10.901</v>
      </c>
      <c r="E19" s="846">
        <v>115</v>
      </c>
      <c r="F19" s="279">
        <v>3.122</v>
      </c>
      <c r="G19" s="846">
        <v>166</v>
      </c>
      <c r="H19" s="279">
        <v>7.779</v>
      </c>
      <c r="I19" s="283">
        <f t="shared" si="1"/>
        <v>0.5907473309608541</v>
      </c>
      <c r="J19" s="286">
        <f t="shared" si="1"/>
        <v>0.7136042564902303</v>
      </c>
      <c r="K19" s="275" t="s">
        <v>65</v>
      </c>
      <c r="P19" s="971"/>
      <c r="Q19" s="971"/>
    </row>
    <row r="20" spans="1:17" ht="12.75" customHeight="1">
      <c r="A20" s="8"/>
      <c r="B20" s="470" t="s">
        <v>76</v>
      </c>
      <c r="C20" s="848">
        <v>92</v>
      </c>
      <c r="D20" s="471">
        <v>2.731</v>
      </c>
      <c r="E20" s="848">
        <v>58</v>
      </c>
      <c r="F20" s="471">
        <v>1.64</v>
      </c>
      <c r="G20" s="848">
        <v>34</v>
      </c>
      <c r="H20" s="471">
        <v>1.091</v>
      </c>
      <c r="I20" s="472">
        <f>G20/C20</f>
        <v>0.3695652173913043</v>
      </c>
      <c r="J20" s="473">
        <f>H20/D20</f>
        <v>0.3994873672647382</v>
      </c>
      <c r="K20" s="470" t="s">
        <v>76</v>
      </c>
      <c r="P20" s="971"/>
      <c r="Q20" s="971"/>
    </row>
    <row r="21" spans="1:17" ht="12.75" customHeight="1">
      <c r="A21" s="8"/>
      <c r="B21" s="275" t="s">
        <v>67</v>
      </c>
      <c r="C21" s="846">
        <v>1085</v>
      </c>
      <c r="D21" s="279">
        <v>46.329</v>
      </c>
      <c r="E21" s="846">
        <v>482</v>
      </c>
      <c r="F21" s="279">
        <v>14.515</v>
      </c>
      <c r="G21" s="846">
        <v>603</v>
      </c>
      <c r="H21" s="279">
        <v>31.814</v>
      </c>
      <c r="I21" s="283">
        <f t="shared" si="1"/>
        <v>0.5557603686635945</v>
      </c>
      <c r="J21" s="286">
        <f t="shared" si="1"/>
        <v>0.6866973170152604</v>
      </c>
      <c r="K21" s="275" t="s">
        <v>67</v>
      </c>
      <c r="P21" s="971"/>
      <c r="Q21" s="971"/>
    </row>
    <row r="22" spans="1:17" ht="12.75" customHeight="1">
      <c r="A22" s="8"/>
      <c r="B22" s="470" t="s">
        <v>46</v>
      </c>
      <c r="C22" s="848">
        <v>151</v>
      </c>
      <c r="D22" s="471">
        <v>5.315</v>
      </c>
      <c r="E22" s="848">
        <v>51</v>
      </c>
      <c r="F22" s="471">
        <v>1.676</v>
      </c>
      <c r="G22" s="848">
        <v>100</v>
      </c>
      <c r="H22" s="471">
        <v>3.639</v>
      </c>
      <c r="I22" s="472">
        <f t="shared" si="1"/>
        <v>0.6622516556291391</v>
      </c>
      <c r="J22" s="473">
        <f t="shared" si="1"/>
        <v>0.6846660395108184</v>
      </c>
      <c r="K22" s="470" t="s">
        <v>46</v>
      </c>
      <c r="P22" s="971"/>
      <c r="Q22" s="971"/>
    </row>
    <row r="23" spans="1:17" ht="12.75" customHeight="1">
      <c r="A23" s="8"/>
      <c r="B23" s="275" t="s">
        <v>50</v>
      </c>
      <c r="C23" s="846">
        <v>54</v>
      </c>
      <c r="D23" s="279">
        <v>0.951</v>
      </c>
      <c r="E23" s="846">
        <v>10</v>
      </c>
      <c r="F23" s="279">
        <v>0.047</v>
      </c>
      <c r="G23" s="846">
        <v>44</v>
      </c>
      <c r="H23" s="279">
        <v>0.905</v>
      </c>
      <c r="I23" s="283">
        <f t="shared" si="1"/>
        <v>0.8148148148148148</v>
      </c>
      <c r="J23" s="286">
        <f t="shared" si="1"/>
        <v>0.9516298633017877</v>
      </c>
      <c r="K23" s="275" t="s">
        <v>50</v>
      </c>
      <c r="P23" s="971"/>
      <c r="Q23" s="971"/>
    </row>
    <row r="24" spans="1:17" ht="12.75" customHeight="1">
      <c r="A24" s="8"/>
      <c r="B24" s="470" t="s">
        <v>51</v>
      </c>
      <c r="C24" s="848">
        <v>56</v>
      </c>
      <c r="D24" s="471">
        <v>0.338</v>
      </c>
      <c r="E24" s="848">
        <v>19</v>
      </c>
      <c r="F24" s="471">
        <v>0.168</v>
      </c>
      <c r="G24" s="848">
        <v>37</v>
      </c>
      <c r="H24" s="471">
        <v>0.17</v>
      </c>
      <c r="I24" s="472">
        <f t="shared" si="1"/>
        <v>0.6607142857142857</v>
      </c>
      <c r="J24" s="473">
        <f t="shared" si="1"/>
        <v>0.5029585798816568</v>
      </c>
      <c r="K24" s="470" t="s">
        <v>51</v>
      </c>
      <c r="P24" s="971"/>
      <c r="Q24" s="971"/>
    </row>
    <row r="25" spans="1:17" ht="12.75" customHeight="1">
      <c r="A25" s="8"/>
      <c r="B25" s="275" t="s">
        <v>68</v>
      </c>
      <c r="C25" s="846" t="s">
        <v>75</v>
      </c>
      <c r="D25" s="279" t="s">
        <v>75</v>
      </c>
      <c r="E25" s="846" t="s">
        <v>75</v>
      </c>
      <c r="F25" s="466" t="s">
        <v>75</v>
      </c>
      <c r="G25" s="846" t="s">
        <v>75</v>
      </c>
      <c r="H25" s="279" t="s">
        <v>75</v>
      </c>
      <c r="I25" s="467" t="s">
        <v>75</v>
      </c>
      <c r="J25" s="286" t="s">
        <v>75</v>
      </c>
      <c r="K25" s="275" t="s">
        <v>68</v>
      </c>
      <c r="P25" s="971"/>
      <c r="Q25" s="971"/>
    </row>
    <row r="26" spans="1:17" ht="12.75" customHeight="1">
      <c r="A26" s="8"/>
      <c r="B26" s="470" t="s">
        <v>49</v>
      </c>
      <c r="C26" s="848" t="s">
        <v>75</v>
      </c>
      <c r="D26" s="471" t="s">
        <v>75</v>
      </c>
      <c r="E26" s="848" t="s">
        <v>75</v>
      </c>
      <c r="F26" s="471" t="s">
        <v>75</v>
      </c>
      <c r="G26" s="848" t="s">
        <v>75</v>
      </c>
      <c r="H26" s="471" t="s">
        <v>75</v>
      </c>
      <c r="I26" s="472" t="s">
        <v>75</v>
      </c>
      <c r="J26" s="473" t="s">
        <v>75</v>
      </c>
      <c r="K26" s="470" t="s">
        <v>49</v>
      </c>
      <c r="P26" s="971"/>
      <c r="Q26" s="971"/>
    </row>
    <row r="27" spans="1:17" ht="12.75" customHeight="1">
      <c r="A27" s="8"/>
      <c r="B27" s="275" t="s">
        <v>52</v>
      </c>
      <c r="C27" s="846">
        <f>E27+G27</f>
        <v>29</v>
      </c>
      <c r="D27" s="279">
        <v>0.273</v>
      </c>
      <c r="E27" s="846">
        <v>22</v>
      </c>
      <c r="F27" s="279">
        <v>0.145</v>
      </c>
      <c r="G27" s="846">
        <v>7</v>
      </c>
      <c r="H27" s="279">
        <v>0.128</v>
      </c>
      <c r="I27" s="283">
        <f aca="true" t="shared" si="2" ref="I27:J44">G27/C27</f>
        <v>0.2413793103448276</v>
      </c>
      <c r="J27" s="286">
        <f t="shared" si="2"/>
        <v>0.46886446886446886</v>
      </c>
      <c r="K27" s="275" t="s">
        <v>52</v>
      </c>
      <c r="P27" s="971"/>
      <c r="Q27" s="971"/>
    </row>
    <row r="28" spans="1:17" ht="12.75" customHeight="1">
      <c r="A28" s="8"/>
      <c r="B28" s="470" t="s">
        <v>60</v>
      </c>
      <c r="C28" s="848">
        <v>908</v>
      </c>
      <c r="D28" s="471">
        <v>10.764</v>
      </c>
      <c r="E28" s="848">
        <v>637</v>
      </c>
      <c r="F28" s="471">
        <v>5.563</v>
      </c>
      <c r="G28" s="848">
        <v>271</v>
      </c>
      <c r="H28" s="471">
        <v>5.201</v>
      </c>
      <c r="I28" s="472">
        <f t="shared" si="2"/>
        <v>0.29845814977973567</v>
      </c>
      <c r="J28" s="473">
        <f t="shared" si="2"/>
        <v>0.4831846897064288</v>
      </c>
      <c r="K28" s="470" t="s">
        <v>60</v>
      </c>
      <c r="P28" s="971"/>
      <c r="Q28" s="971"/>
    </row>
    <row r="29" spans="1:17" ht="12.75" customHeight="1">
      <c r="A29" s="8"/>
      <c r="B29" s="275" t="s">
        <v>69</v>
      </c>
      <c r="C29" s="846">
        <f>G29</f>
        <v>6</v>
      </c>
      <c r="D29" s="279">
        <f>H29</f>
        <v>0.043</v>
      </c>
      <c r="E29" s="846" t="s">
        <v>75</v>
      </c>
      <c r="F29" s="279" t="s">
        <v>75</v>
      </c>
      <c r="G29" s="846">
        <v>6</v>
      </c>
      <c r="H29" s="279">
        <v>0.043</v>
      </c>
      <c r="I29" s="283">
        <f t="shared" si="2"/>
        <v>1</v>
      </c>
      <c r="J29" s="286">
        <f t="shared" si="2"/>
        <v>1</v>
      </c>
      <c r="K29" s="275" t="s">
        <v>69</v>
      </c>
      <c r="P29" s="971"/>
      <c r="Q29" s="971"/>
    </row>
    <row r="30" spans="1:17" ht="12.75" customHeight="1">
      <c r="A30" s="8"/>
      <c r="B30" s="470" t="s">
        <v>53</v>
      </c>
      <c r="C30" s="848">
        <v>107</v>
      </c>
      <c r="D30" s="471">
        <v>2.437</v>
      </c>
      <c r="E30" s="848">
        <v>8</v>
      </c>
      <c r="F30" s="471">
        <v>0.026</v>
      </c>
      <c r="G30" s="848">
        <v>99</v>
      </c>
      <c r="H30" s="471">
        <v>2.411</v>
      </c>
      <c r="I30" s="472">
        <f t="shared" si="2"/>
        <v>0.9252336448598131</v>
      </c>
      <c r="J30" s="473">
        <f t="shared" si="2"/>
        <v>0.9893311448502258</v>
      </c>
      <c r="K30" s="470" t="s">
        <v>53</v>
      </c>
      <c r="P30" s="971"/>
      <c r="Q30" s="971"/>
    </row>
    <row r="31" spans="1:17" ht="12.75" customHeight="1">
      <c r="A31" s="8"/>
      <c r="B31" s="275" t="s">
        <v>70</v>
      </c>
      <c r="C31" s="846">
        <v>39</v>
      </c>
      <c r="D31" s="279">
        <v>0.952</v>
      </c>
      <c r="E31" s="846">
        <v>18</v>
      </c>
      <c r="F31" s="279">
        <v>0.085</v>
      </c>
      <c r="G31" s="846">
        <v>21</v>
      </c>
      <c r="H31" s="279">
        <v>0.867</v>
      </c>
      <c r="I31" s="283">
        <f t="shared" si="2"/>
        <v>0.5384615384615384</v>
      </c>
      <c r="J31" s="286">
        <f t="shared" si="2"/>
        <v>0.9107142857142857</v>
      </c>
      <c r="K31" s="275" t="s">
        <v>70</v>
      </c>
      <c r="P31" s="971"/>
      <c r="Q31" s="971"/>
    </row>
    <row r="32" spans="1:17" ht="12.75" customHeight="1">
      <c r="A32" s="8"/>
      <c r="B32" s="470" t="s">
        <v>54</v>
      </c>
      <c r="C32" s="848">
        <v>80</v>
      </c>
      <c r="D32" s="471">
        <v>0.883</v>
      </c>
      <c r="E32" s="848">
        <v>2</v>
      </c>
      <c r="F32" s="471">
        <v>0.024</v>
      </c>
      <c r="G32" s="848">
        <v>78</v>
      </c>
      <c r="H32" s="471">
        <v>0.859</v>
      </c>
      <c r="I32" s="472">
        <f t="shared" si="2"/>
        <v>0.975</v>
      </c>
      <c r="J32" s="473">
        <f t="shared" si="2"/>
        <v>0.9728199320498301</v>
      </c>
      <c r="K32" s="470" t="s">
        <v>54</v>
      </c>
      <c r="P32" s="971"/>
      <c r="Q32" s="971"/>
    </row>
    <row r="33" spans="1:17" ht="12.75" customHeight="1">
      <c r="A33" s="8"/>
      <c r="B33" s="275" t="s">
        <v>56</v>
      </c>
      <c r="C33" s="846">
        <f>G33</f>
        <v>4</v>
      </c>
      <c r="D33" s="279">
        <f>0.018</f>
        <v>0.018</v>
      </c>
      <c r="E33" s="851" t="s">
        <v>75</v>
      </c>
      <c r="F33" s="279" t="s">
        <v>75</v>
      </c>
      <c r="G33" s="846">
        <v>4</v>
      </c>
      <c r="H33" s="279">
        <v>0.018</v>
      </c>
      <c r="I33" s="283">
        <f t="shared" si="2"/>
        <v>1</v>
      </c>
      <c r="J33" s="286">
        <f t="shared" si="2"/>
        <v>1</v>
      </c>
      <c r="K33" s="275" t="s">
        <v>56</v>
      </c>
      <c r="P33" s="971"/>
      <c r="Q33" s="971"/>
    </row>
    <row r="34" spans="1:17" ht="12.75" customHeight="1">
      <c r="A34" s="8"/>
      <c r="B34" s="470" t="s">
        <v>55</v>
      </c>
      <c r="C34" s="848" t="s">
        <v>75</v>
      </c>
      <c r="D34" s="471" t="s">
        <v>75</v>
      </c>
      <c r="E34" s="848" t="s">
        <v>75</v>
      </c>
      <c r="F34" s="471" t="s">
        <v>75</v>
      </c>
      <c r="G34" s="848" t="s">
        <v>75</v>
      </c>
      <c r="H34" s="471" t="s">
        <v>75</v>
      </c>
      <c r="I34" s="472" t="s">
        <v>75</v>
      </c>
      <c r="J34" s="473" t="s">
        <v>75</v>
      </c>
      <c r="K34" s="470" t="s">
        <v>55</v>
      </c>
      <c r="P34" s="971"/>
      <c r="Q34" s="971"/>
    </row>
    <row r="35" spans="1:17" ht="12.75" customHeight="1">
      <c r="A35" s="8"/>
      <c r="B35" s="275" t="s">
        <v>71</v>
      </c>
      <c r="C35" s="846">
        <v>107</v>
      </c>
      <c r="D35" s="279">
        <v>1.884</v>
      </c>
      <c r="E35" s="846">
        <v>74</v>
      </c>
      <c r="F35" s="279">
        <v>0.824</v>
      </c>
      <c r="G35" s="846">
        <v>33</v>
      </c>
      <c r="H35" s="279">
        <v>1.06</v>
      </c>
      <c r="I35" s="283">
        <f t="shared" si="2"/>
        <v>0.308411214953271</v>
      </c>
      <c r="J35" s="286">
        <f t="shared" si="2"/>
        <v>0.5626326963906583</v>
      </c>
      <c r="K35" s="275" t="s">
        <v>71</v>
      </c>
      <c r="P35" s="971"/>
      <c r="Q35" s="971"/>
    </row>
    <row r="36" spans="1:17" ht="12.75" customHeight="1">
      <c r="A36" s="8"/>
      <c r="B36" s="470" t="s">
        <v>72</v>
      </c>
      <c r="C36" s="848">
        <v>331</v>
      </c>
      <c r="D36" s="471">
        <v>6.417</v>
      </c>
      <c r="E36" s="848">
        <v>84</v>
      </c>
      <c r="F36" s="471">
        <v>1.068</v>
      </c>
      <c r="G36" s="848">
        <v>247</v>
      </c>
      <c r="H36" s="471">
        <v>5.349</v>
      </c>
      <c r="I36" s="472">
        <f t="shared" si="2"/>
        <v>0.7462235649546828</v>
      </c>
      <c r="J36" s="473">
        <f t="shared" si="2"/>
        <v>0.83356708742403</v>
      </c>
      <c r="K36" s="470" t="s">
        <v>72</v>
      </c>
      <c r="P36" s="971"/>
      <c r="Q36" s="971"/>
    </row>
    <row r="37" spans="1:17" ht="12.75" customHeight="1">
      <c r="A37" s="8"/>
      <c r="B37" s="277" t="s">
        <v>61</v>
      </c>
      <c r="C37" s="849">
        <v>661</v>
      </c>
      <c r="D37" s="281">
        <v>27.078</v>
      </c>
      <c r="E37" s="849">
        <v>213</v>
      </c>
      <c r="F37" s="281">
        <v>6.541</v>
      </c>
      <c r="G37" s="849">
        <v>448</v>
      </c>
      <c r="H37" s="281">
        <v>20.537</v>
      </c>
      <c r="I37" s="468">
        <f t="shared" si="2"/>
        <v>0.6777609682299546</v>
      </c>
      <c r="J37" s="288">
        <f t="shared" si="2"/>
        <v>0.7584385848290125</v>
      </c>
      <c r="K37" s="277" t="s">
        <v>61</v>
      </c>
      <c r="P37" s="971"/>
      <c r="Q37" s="971"/>
    </row>
    <row r="38" spans="1:17" ht="12.75" customHeight="1">
      <c r="A38" s="8"/>
      <c r="B38" s="470" t="s">
        <v>221</v>
      </c>
      <c r="C38" s="848">
        <v>22</v>
      </c>
      <c r="D38" s="471">
        <v>0.082</v>
      </c>
      <c r="E38" s="848">
        <v>12</v>
      </c>
      <c r="F38" s="471">
        <v>0.039</v>
      </c>
      <c r="G38" s="848">
        <v>10</v>
      </c>
      <c r="H38" s="471">
        <v>0.043</v>
      </c>
      <c r="I38" s="472">
        <f>G38/C38</f>
        <v>0.45454545454545453</v>
      </c>
      <c r="J38" s="473">
        <f>H38/D38</f>
        <v>0.5243902439024389</v>
      </c>
      <c r="K38" s="470" t="s">
        <v>221</v>
      </c>
      <c r="P38" s="971"/>
      <c r="Q38" s="971"/>
    </row>
    <row r="39" spans="1:17" ht="12.75" customHeight="1">
      <c r="A39" s="8"/>
      <c r="B39" s="275" t="s">
        <v>213</v>
      </c>
      <c r="C39" s="846">
        <f>E39+G39</f>
        <v>6</v>
      </c>
      <c r="D39" s="279">
        <f>F39+H39</f>
        <v>0.14300000000000002</v>
      </c>
      <c r="E39" s="846">
        <v>4</v>
      </c>
      <c r="F39" s="279">
        <v>0.14</v>
      </c>
      <c r="G39" s="846">
        <v>2</v>
      </c>
      <c r="H39" s="279">
        <v>0.003</v>
      </c>
      <c r="I39" s="283">
        <f>G39/C39</f>
        <v>0.3333333333333333</v>
      </c>
      <c r="J39" s="286">
        <f>H39/D39</f>
        <v>0.020979020979020976</v>
      </c>
      <c r="K39" s="275" t="s">
        <v>213</v>
      </c>
      <c r="P39" s="971"/>
      <c r="Q39" s="971"/>
    </row>
    <row r="40" spans="1:17" ht="12.75" customHeight="1">
      <c r="A40" s="8"/>
      <c r="B40" s="470" t="s">
        <v>1</v>
      </c>
      <c r="C40" s="959" t="s">
        <v>75</v>
      </c>
      <c r="D40" s="960" t="s">
        <v>75</v>
      </c>
      <c r="E40" s="959" t="s">
        <v>75</v>
      </c>
      <c r="F40" s="961" t="s">
        <v>75</v>
      </c>
      <c r="G40" s="962" t="s">
        <v>75</v>
      </c>
      <c r="H40" s="961" t="s">
        <v>75</v>
      </c>
      <c r="I40" s="963" t="s">
        <v>75</v>
      </c>
      <c r="J40" s="961" t="s">
        <v>75</v>
      </c>
      <c r="K40" s="470" t="s">
        <v>1</v>
      </c>
      <c r="P40" s="971"/>
      <c r="Q40" s="971"/>
    </row>
    <row r="41" spans="1:17" ht="12.75" customHeight="1">
      <c r="A41" s="8"/>
      <c r="B41" s="275" t="s">
        <v>212</v>
      </c>
      <c r="C41" s="846" t="s">
        <v>75</v>
      </c>
      <c r="D41" s="279" t="s">
        <v>75</v>
      </c>
      <c r="E41" s="846" t="s">
        <v>75</v>
      </c>
      <c r="F41" s="279" t="s">
        <v>75</v>
      </c>
      <c r="G41" s="846" t="s">
        <v>75</v>
      </c>
      <c r="H41" s="279" t="s">
        <v>75</v>
      </c>
      <c r="I41" s="283" t="s">
        <v>75</v>
      </c>
      <c r="J41" s="286" t="s">
        <v>75</v>
      </c>
      <c r="K41" s="275" t="s">
        <v>212</v>
      </c>
      <c r="P41" s="971"/>
      <c r="Q41" s="971"/>
    </row>
    <row r="42" spans="1:17" ht="12.75" customHeight="1">
      <c r="A42" s="8"/>
      <c r="B42" s="841" t="s">
        <v>57</v>
      </c>
      <c r="C42" s="850">
        <v>1532</v>
      </c>
      <c r="D42" s="842">
        <v>28.827</v>
      </c>
      <c r="E42" s="850">
        <v>548</v>
      </c>
      <c r="F42" s="842">
        <v>8.196</v>
      </c>
      <c r="G42" s="850">
        <v>984</v>
      </c>
      <c r="H42" s="842">
        <v>20.632</v>
      </c>
      <c r="I42" s="843">
        <f t="shared" si="2"/>
        <v>0.6422976501305483</v>
      </c>
      <c r="J42" s="844">
        <f t="shared" si="2"/>
        <v>0.715717903354494</v>
      </c>
      <c r="K42" s="841" t="s">
        <v>57</v>
      </c>
      <c r="M42" s="971"/>
      <c r="P42" s="971"/>
      <c r="Q42" s="971"/>
    </row>
    <row r="43" spans="1:17" ht="12.75" customHeight="1">
      <c r="A43" s="8"/>
      <c r="B43" s="275" t="s">
        <v>43</v>
      </c>
      <c r="C43" s="846">
        <f>E43+G43</f>
        <v>19</v>
      </c>
      <c r="D43" s="279">
        <f>0.119</f>
        <v>0.119</v>
      </c>
      <c r="E43" s="846">
        <v>1</v>
      </c>
      <c r="F43" s="279">
        <v>0</v>
      </c>
      <c r="G43" s="846">
        <v>18</v>
      </c>
      <c r="H43" s="279">
        <v>0.118</v>
      </c>
      <c r="I43" s="283">
        <f t="shared" si="2"/>
        <v>0.9473684210526315</v>
      </c>
      <c r="J43" s="286">
        <f t="shared" si="2"/>
        <v>0.9915966386554622</v>
      </c>
      <c r="K43" s="275" t="s">
        <v>43</v>
      </c>
      <c r="P43" s="971"/>
      <c r="Q43" s="971"/>
    </row>
    <row r="44" spans="1:17" ht="12.75" customHeight="1">
      <c r="A44" s="8"/>
      <c r="B44" s="470" t="s">
        <v>73</v>
      </c>
      <c r="C44" s="848">
        <v>1605</v>
      </c>
      <c r="D44" s="471">
        <v>64.029</v>
      </c>
      <c r="E44" s="848">
        <v>497</v>
      </c>
      <c r="F44" s="471">
        <v>15.796</v>
      </c>
      <c r="G44" s="848">
        <v>1108</v>
      </c>
      <c r="H44" s="471">
        <v>48.233</v>
      </c>
      <c r="I44" s="472">
        <f t="shared" si="2"/>
        <v>0.6903426791277258</v>
      </c>
      <c r="J44" s="473">
        <f t="shared" si="2"/>
        <v>0.753299286260913</v>
      </c>
      <c r="K44" s="470" t="s">
        <v>73</v>
      </c>
      <c r="P44" s="971"/>
      <c r="Q44" s="971"/>
    </row>
    <row r="45" spans="1:17" ht="12.75" customHeight="1">
      <c r="A45" s="8"/>
      <c r="B45" s="277" t="s">
        <v>44</v>
      </c>
      <c r="C45" s="849">
        <v>196</v>
      </c>
      <c r="D45" s="281">
        <v>9.11</v>
      </c>
      <c r="E45" s="849">
        <v>49</v>
      </c>
      <c r="F45" s="281">
        <v>1.7</v>
      </c>
      <c r="G45" s="849">
        <v>147</v>
      </c>
      <c r="H45" s="281">
        <v>7.41</v>
      </c>
      <c r="I45" s="468">
        <f>G45/C45</f>
        <v>0.75</v>
      </c>
      <c r="J45" s="288">
        <f>H45/D45</f>
        <v>0.813391877058178</v>
      </c>
      <c r="K45" s="277" t="s">
        <v>44</v>
      </c>
      <c r="P45" s="971"/>
      <c r="Q45" s="971"/>
    </row>
    <row r="46" spans="2:11" ht="26.25" customHeight="1">
      <c r="B46" s="1037" t="s">
        <v>250</v>
      </c>
      <c r="C46" s="1037"/>
      <c r="D46" s="1037"/>
      <c r="E46" s="1037"/>
      <c r="F46" s="1037"/>
      <c r="G46" s="1037"/>
      <c r="H46" s="1037"/>
      <c r="I46" s="1037"/>
      <c r="J46" s="1037"/>
      <c r="K46" s="48"/>
    </row>
    <row r="47" spans="2:11" ht="11.25" customHeight="1">
      <c r="B47" s="1050" t="s">
        <v>0</v>
      </c>
      <c r="C47" s="1050"/>
      <c r="D47" s="273"/>
      <c r="E47" s="273"/>
      <c r="F47" s="273"/>
      <c r="G47" s="273"/>
      <c r="H47" s="273"/>
      <c r="I47" s="273"/>
      <c r="J47" s="273"/>
      <c r="K47" s="273"/>
    </row>
    <row r="48" spans="2:11" ht="10.5" customHeight="1">
      <c r="B48" s="1063" t="s">
        <v>207</v>
      </c>
      <c r="C48" s="1063"/>
      <c r="D48" s="1063"/>
      <c r="E48" s="1063"/>
      <c r="F48" s="1063"/>
      <c r="G48" s="1063"/>
      <c r="H48" s="1063"/>
      <c r="I48" s="1063"/>
      <c r="J48" s="1063"/>
      <c r="K48" s="1063"/>
    </row>
    <row r="49" spans="2:11" ht="24.75" customHeight="1">
      <c r="B49" s="1063" t="s">
        <v>273</v>
      </c>
      <c r="C49" s="1063"/>
      <c r="D49" s="1063"/>
      <c r="E49" s="1063"/>
      <c r="F49" s="1063"/>
      <c r="G49" s="1063"/>
      <c r="H49" s="1063"/>
      <c r="I49" s="1063"/>
      <c r="J49" s="1063"/>
      <c r="K49" s="1063"/>
    </row>
    <row r="54" ht="11.25">
      <c r="C54" s="289"/>
    </row>
  </sheetData>
  <sheetProtection/>
  <mergeCells count="11">
    <mergeCell ref="G5:H5"/>
    <mergeCell ref="I5:J5"/>
    <mergeCell ref="B47:C47"/>
    <mergeCell ref="B49:K49"/>
    <mergeCell ref="B2:K2"/>
    <mergeCell ref="B3:K3"/>
    <mergeCell ref="B4:K4"/>
    <mergeCell ref="B48:K48"/>
    <mergeCell ref="B46:J46"/>
    <mergeCell ref="C5:D5"/>
    <mergeCell ref="E5:F5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4"/>
  <dimension ref="A1:W27"/>
  <sheetViews>
    <sheetView zoomScalePageLayoutView="0" workbookViewId="0" topLeftCell="A1">
      <selection activeCell="X25" sqref="X25"/>
    </sheetView>
  </sheetViews>
  <sheetFormatPr defaultColWidth="9.140625" defaultRowHeight="12.75"/>
  <cols>
    <col min="1" max="1" width="1.8515625" style="0" customWidth="1"/>
    <col min="2" max="2" width="17.140625" style="0" customWidth="1"/>
    <col min="3" max="4" width="9.7109375" style="0" customWidth="1"/>
    <col min="5" max="8" width="9.7109375" style="0" hidden="1" customWidth="1"/>
    <col min="9" max="9" width="9.7109375" style="0" customWidth="1"/>
    <col min="10" max="11" width="9.7109375" style="0" hidden="1" customWidth="1"/>
    <col min="12" max="12" width="9.7109375" style="0" customWidth="1"/>
    <col min="14" max="15" width="9.140625" style="0" customWidth="1"/>
    <col min="16" max="16" width="9.28125" style="0" customWidth="1"/>
    <col min="17" max="18" width="9.28125" style="493" customWidth="1"/>
    <col min="19" max="19" width="10.421875" style="902" customWidth="1"/>
    <col min="20" max="20" width="8.7109375" style="988" customWidth="1"/>
    <col min="21" max="21" width="2.00390625" style="0" customWidth="1"/>
  </cols>
  <sheetData>
    <row r="1" spans="2:21" ht="14.25" customHeight="1">
      <c r="B1" s="1073"/>
      <c r="C1" s="1073"/>
      <c r="L1" s="16"/>
      <c r="M1" s="1076" t="s">
        <v>157</v>
      </c>
      <c r="N1" s="1076"/>
      <c r="O1" s="1076"/>
      <c r="P1" s="1076"/>
      <c r="Q1" s="1076"/>
      <c r="R1" s="1076"/>
      <c r="S1" s="1076"/>
      <c r="T1" s="1076"/>
      <c r="U1" s="1076"/>
    </row>
    <row r="2" spans="2:20" s="44" customFormat="1" ht="30" customHeight="1">
      <c r="B2" s="1084" t="s">
        <v>23</v>
      </c>
      <c r="C2" s="1084"/>
      <c r="D2" s="1084"/>
      <c r="E2" s="1084"/>
      <c r="F2" s="1084"/>
      <c r="G2" s="1084"/>
      <c r="H2" s="1084"/>
      <c r="I2" s="1084"/>
      <c r="J2" s="1084"/>
      <c r="K2" s="1084"/>
      <c r="L2" s="1084"/>
      <c r="M2" s="1084"/>
      <c r="N2" s="1084"/>
      <c r="O2" s="1084"/>
      <c r="P2" s="1084"/>
      <c r="Q2" s="1084"/>
      <c r="R2" s="1084"/>
      <c r="S2" s="931"/>
      <c r="T2" s="1000"/>
    </row>
    <row r="3" spans="2:21" ht="19.5" customHeight="1">
      <c r="B3" s="1077" t="s">
        <v>97</v>
      </c>
      <c r="C3" s="1078"/>
      <c r="D3" s="1078"/>
      <c r="E3" s="1078"/>
      <c r="F3" s="1078"/>
      <c r="G3" s="1078"/>
      <c r="H3" s="1078"/>
      <c r="I3" s="1078"/>
      <c r="J3" s="1078"/>
      <c r="K3" s="1078"/>
      <c r="L3" s="1078"/>
      <c r="M3" s="1078"/>
      <c r="N3" s="1078"/>
      <c r="O3" s="1078"/>
      <c r="P3" s="1078"/>
      <c r="Q3" s="1079"/>
      <c r="R3" s="1079"/>
      <c r="S3" s="1079"/>
      <c r="T3" s="1079"/>
      <c r="U3" s="1080"/>
    </row>
    <row r="4" spans="2:21" ht="9.75" customHeight="1">
      <c r="B4" s="1074" t="s">
        <v>98</v>
      </c>
      <c r="C4" s="290" t="s">
        <v>96</v>
      </c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460"/>
      <c r="P4" s="425"/>
      <c r="Q4" s="756"/>
      <c r="R4" s="756"/>
      <c r="S4" s="932"/>
      <c r="T4" s="1001"/>
      <c r="U4" s="248"/>
    </row>
    <row r="5" spans="2:21" ht="15" customHeight="1">
      <c r="B5" s="1074"/>
      <c r="C5" s="291">
        <v>1995</v>
      </c>
      <c r="D5" s="292">
        <v>2000</v>
      </c>
      <c r="E5" s="292">
        <v>2001</v>
      </c>
      <c r="F5" s="292">
        <v>2002</v>
      </c>
      <c r="G5" s="292">
        <v>2003</v>
      </c>
      <c r="H5" s="292">
        <v>2004</v>
      </c>
      <c r="I5" s="292">
        <v>2005</v>
      </c>
      <c r="J5" s="292">
        <v>2006</v>
      </c>
      <c r="K5" s="292">
        <v>2007</v>
      </c>
      <c r="L5" s="292">
        <v>2008</v>
      </c>
      <c r="M5" s="292">
        <v>2009</v>
      </c>
      <c r="N5" s="292">
        <v>2010</v>
      </c>
      <c r="O5" s="292">
        <v>2011</v>
      </c>
      <c r="P5" s="292">
        <v>2012</v>
      </c>
      <c r="Q5" s="292">
        <v>2013</v>
      </c>
      <c r="R5" s="292">
        <v>2014</v>
      </c>
      <c r="S5" s="292">
        <v>2015</v>
      </c>
      <c r="T5" s="292">
        <v>2016</v>
      </c>
      <c r="U5" s="293"/>
    </row>
    <row r="6" spans="2:21" ht="15" customHeight="1">
      <c r="B6" s="1075"/>
      <c r="C6" s="1081" t="s">
        <v>185</v>
      </c>
      <c r="D6" s="1082"/>
      <c r="E6" s="1082"/>
      <c r="F6" s="1082"/>
      <c r="G6" s="1082"/>
      <c r="H6" s="1082"/>
      <c r="I6" s="1082"/>
      <c r="J6" s="1082"/>
      <c r="K6" s="1082"/>
      <c r="L6" s="1082"/>
      <c r="M6" s="1082"/>
      <c r="N6" s="1082"/>
      <c r="O6" s="1082"/>
      <c r="P6" s="1082"/>
      <c r="Q6" s="1082"/>
      <c r="R6" s="1082"/>
      <c r="S6" s="1082"/>
      <c r="T6" s="1082"/>
      <c r="U6" s="1083"/>
    </row>
    <row r="7" spans="2:21" ht="19.5" customHeight="1">
      <c r="B7" s="295" t="s">
        <v>24</v>
      </c>
      <c r="C7" s="296">
        <v>311.246</v>
      </c>
      <c r="D7" s="297">
        <v>350.136</v>
      </c>
      <c r="E7" s="297">
        <v>361.422</v>
      </c>
      <c r="F7" s="297">
        <v>372.28</v>
      </c>
      <c r="G7" s="297">
        <v>371.672</v>
      </c>
      <c r="H7" s="297">
        <v>383.181</v>
      </c>
      <c r="I7" s="297">
        <v>400.947</v>
      </c>
      <c r="J7" s="297">
        <v>420.624</v>
      </c>
      <c r="K7" s="297">
        <v>465.147</v>
      </c>
      <c r="L7" s="297">
        <v>480.869</v>
      </c>
      <c r="M7" s="297">
        <v>507.666</v>
      </c>
      <c r="N7" s="297">
        <f>501.075+17.201</f>
        <v>518.276</v>
      </c>
      <c r="O7" s="297">
        <f>533.31+19.66</f>
        <v>552.9699999999999</v>
      </c>
      <c r="P7" s="297">
        <f>578.437+22.572</f>
        <v>601.009</v>
      </c>
      <c r="Q7" s="852">
        <f>639.537+30.327</f>
        <v>669.864</v>
      </c>
      <c r="R7" s="852">
        <f>665.973+30.427</f>
        <v>696.4</v>
      </c>
      <c r="S7" s="852">
        <f>711.802+27.298</f>
        <v>739.1</v>
      </c>
      <c r="T7" s="852">
        <f>744.708+28.827</f>
        <v>773.535</v>
      </c>
      <c r="U7" s="298"/>
    </row>
    <row r="8" spans="2:21" ht="19.5" customHeight="1">
      <c r="B8" s="299" t="s">
        <v>223</v>
      </c>
      <c r="C8" s="300">
        <v>223.56400000000002</v>
      </c>
      <c r="D8" s="301">
        <v>257.975</v>
      </c>
      <c r="E8" s="301">
        <v>266.347</v>
      </c>
      <c r="F8" s="301">
        <v>274.612</v>
      </c>
      <c r="G8" s="301">
        <v>277.386</v>
      </c>
      <c r="H8" s="301">
        <v>292.79100000000005</v>
      </c>
      <c r="I8" s="301">
        <v>316.85</v>
      </c>
      <c r="J8" s="301">
        <v>332.11</v>
      </c>
      <c r="K8" s="301">
        <v>368.486</v>
      </c>
      <c r="L8" s="301">
        <v>392.052</v>
      </c>
      <c r="M8" s="301">
        <v>417.895</v>
      </c>
      <c r="N8" s="301">
        <v>432.246</v>
      </c>
      <c r="O8" s="301">
        <v>460.399</v>
      </c>
      <c r="P8" s="474">
        <v>508.581</v>
      </c>
      <c r="Q8" s="301">
        <v>545.012</v>
      </c>
      <c r="R8" s="301">
        <v>575.031</v>
      </c>
      <c r="S8" s="301">
        <v>600.143</v>
      </c>
      <c r="T8" s="301">
        <v>625.7110000000001</v>
      </c>
      <c r="U8" s="302"/>
    </row>
    <row r="9" spans="2:21" ht="19.5" customHeight="1">
      <c r="B9" s="299" t="s">
        <v>228</v>
      </c>
      <c r="C9" s="300">
        <v>207.543</v>
      </c>
      <c r="D9" s="301">
        <v>247.549</v>
      </c>
      <c r="E9" s="301">
        <v>257.254</v>
      </c>
      <c r="F9" s="301">
        <v>264.523</v>
      </c>
      <c r="G9" s="301">
        <v>267.194</v>
      </c>
      <c r="H9" s="301">
        <v>282.171</v>
      </c>
      <c r="I9" s="301">
        <v>305.03</v>
      </c>
      <c r="J9" s="301">
        <v>321.244</v>
      </c>
      <c r="K9" s="301">
        <v>355.85</v>
      </c>
      <c r="L9" s="301">
        <v>377.384</v>
      </c>
      <c r="M9" s="301">
        <v>402.884</v>
      </c>
      <c r="N9" s="301">
        <v>417.61</v>
      </c>
      <c r="O9" s="301">
        <v>444.625</v>
      </c>
      <c r="P9" s="301">
        <v>490.7430000000001</v>
      </c>
      <c r="Q9" s="301"/>
      <c r="R9" s="301">
        <v>558.184</v>
      </c>
      <c r="S9" s="301">
        <v>584.5039999999999</v>
      </c>
      <c r="T9" s="301">
        <v>611.2439999999999</v>
      </c>
      <c r="U9" s="302"/>
    </row>
    <row r="10" spans="2:21" ht="19.5" customHeight="1">
      <c r="B10" s="303" t="s">
        <v>25</v>
      </c>
      <c r="C10" s="304">
        <v>51.024</v>
      </c>
      <c r="D10" s="305">
        <v>49.413</v>
      </c>
      <c r="E10" s="305">
        <v>45.368</v>
      </c>
      <c r="F10" s="305">
        <v>42.62</v>
      </c>
      <c r="G10" s="305">
        <v>45.818</v>
      </c>
      <c r="H10" s="305">
        <v>49.67</v>
      </c>
      <c r="I10" s="305">
        <v>45.414</v>
      </c>
      <c r="J10" s="305">
        <v>51.569</v>
      </c>
      <c r="K10" s="305">
        <v>49.342</v>
      </c>
      <c r="L10" s="305">
        <v>49.689</v>
      </c>
      <c r="M10" s="305">
        <v>52.244</v>
      </c>
      <c r="N10" s="306">
        <f>34.867+15.672</f>
        <v>50.539</v>
      </c>
      <c r="O10" s="306">
        <f>39.166+16.867</f>
        <v>56.033</v>
      </c>
      <c r="P10" s="306">
        <f>44.471+18.502</f>
        <v>62.973</v>
      </c>
      <c r="Q10" s="306">
        <v>69.064</v>
      </c>
      <c r="R10" s="306">
        <v>70.211</v>
      </c>
      <c r="S10" s="306">
        <f>56.145+26.736</f>
        <v>82.881</v>
      </c>
      <c r="T10" s="306">
        <f>60.983+30.436</f>
        <v>91.419</v>
      </c>
      <c r="U10" s="307"/>
    </row>
    <row r="11" spans="2:21" ht="19.5" customHeight="1">
      <c r="B11" s="303" t="s">
        <v>26</v>
      </c>
      <c r="C11" s="304">
        <v>18.691</v>
      </c>
      <c r="D11" s="305">
        <v>15.679</v>
      </c>
      <c r="E11" s="305">
        <v>14.335</v>
      </c>
      <c r="F11" s="305">
        <v>15.473</v>
      </c>
      <c r="G11" s="305">
        <v>14.599</v>
      </c>
      <c r="H11" s="305">
        <v>12.605</v>
      </c>
      <c r="I11" s="305">
        <v>14.422</v>
      </c>
      <c r="J11" s="305">
        <v>12.314</v>
      </c>
      <c r="K11" s="305">
        <v>12.398</v>
      </c>
      <c r="L11" s="305">
        <v>13.47</v>
      </c>
      <c r="M11" s="305">
        <v>13.99</v>
      </c>
      <c r="N11" s="305">
        <f>81.406-N10</f>
        <v>30.867000000000004</v>
      </c>
      <c r="O11" s="305">
        <f>103.088-O10</f>
        <v>47.05499999999999</v>
      </c>
      <c r="P11" s="305">
        <f>110.521-P10</f>
        <v>47.548</v>
      </c>
      <c r="Q11" s="305">
        <v>22.651</v>
      </c>
      <c r="R11" s="305">
        <v>31.838</v>
      </c>
      <c r="S11" s="305">
        <f>112.489-82.881</f>
        <v>29.608000000000004</v>
      </c>
      <c r="T11" s="305">
        <f>118.14-T10</f>
        <v>26.721000000000004</v>
      </c>
      <c r="U11" s="307"/>
    </row>
    <row r="12" spans="2:21" ht="19.5" customHeight="1">
      <c r="B12" s="303" t="s">
        <v>27</v>
      </c>
      <c r="C12" s="304">
        <v>246.722</v>
      </c>
      <c r="D12" s="305">
        <v>292.722</v>
      </c>
      <c r="E12" s="305">
        <v>301.207</v>
      </c>
      <c r="F12" s="305">
        <v>304.7</v>
      </c>
      <c r="G12" s="305">
        <v>313.808</v>
      </c>
      <c r="H12" s="305">
        <v>329.485</v>
      </c>
      <c r="I12" s="305">
        <v>361.311</v>
      </c>
      <c r="J12" s="305">
        <v>399.419</v>
      </c>
      <c r="K12" s="305">
        <v>423.425</v>
      </c>
      <c r="L12" s="305">
        <v>462.661</v>
      </c>
      <c r="M12" s="305">
        <v>497.788</v>
      </c>
      <c r="N12" s="305">
        <f>548.037-17.201+1.61</f>
        <v>532.446</v>
      </c>
      <c r="O12" s="305">
        <f>1.658+578.392-19.66</f>
        <v>560.3900000000001</v>
      </c>
      <c r="P12" s="305">
        <f>628.822-22.572+1.225</f>
        <v>607.475</v>
      </c>
      <c r="Q12" s="305">
        <f>778.693-30.327</f>
        <v>748.366</v>
      </c>
      <c r="R12" s="305">
        <f>811.253-30.427</f>
        <v>780.826</v>
      </c>
      <c r="S12" s="305">
        <f>828.396-27.298+4.496</f>
        <v>805.5939999999999</v>
      </c>
      <c r="T12" s="305">
        <f>844.603-28.827+3.936</f>
        <v>819.712</v>
      </c>
      <c r="U12" s="307"/>
    </row>
    <row r="13" spans="2:21" ht="19.5" customHeight="1">
      <c r="B13" s="303" t="s">
        <v>28</v>
      </c>
      <c r="C13" s="304">
        <v>6.742</v>
      </c>
      <c r="D13" s="305">
        <v>7.121</v>
      </c>
      <c r="E13" s="305">
        <v>5.439</v>
      </c>
      <c r="F13" s="305">
        <v>5.123</v>
      </c>
      <c r="G13" s="305">
        <v>4.831</v>
      </c>
      <c r="H13" s="305">
        <v>4.727</v>
      </c>
      <c r="I13" s="305">
        <v>5.142</v>
      </c>
      <c r="J13" s="305">
        <v>5.039</v>
      </c>
      <c r="K13" s="305">
        <v>5.016</v>
      </c>
      <c r="L13" s="305">
        <v>5.07</v>
      </c>
      <c r="M13" s="305">
        <v>5.04</v>
      </c>
      <c r="N13" s="305">
        <f>6.981</f>
        <v>6.981</v>
      </c>
      <c r="O13" s="305">
        <v>7.586</v>
      </c>
      <c r="P13" s="305">
        <v>8.818</v>
      </c>
      <c r="Q13" s="305">
        <v>12.753</v>
      </c>
      <c r="R13" s="305">
        <v>13.64</v>
      </c>
      <c r="S13" s="305">
        <v>13.451</v>
      </c>
      <c r="T13" s="305">
        <v>13.689</v>
      </c>
      <c r="U13" s="307"/>
    </row>
    <row r="14" spans="2:22" ht="19.5" customHeight="1">
      <c r="B14" s="303" t="s">
        <v>29</v>
      </c>
      <c r="C14" s="308">
        <v>37.956</v>
      </c>
      <c r="D14" s="305">
        <v>38.115</v>
      </c>
      <c r="E14" s="305">
        <v>42.412</v>
      </c>
      <c r="F14" s="305">
        <v>51.14900000000005</v>
      </c>
      <c r="G14" s="305">
        <v>57.487</v>
      </c>
      <c r="H14" s="305">
        <v>52.56</v>
      </c>
      <c r="I14" s="305">
        <v>52.687</v>
      </c>
      <c r="J14" s="305">
        <v>47.4</v>
      </c>
      <c r="K14" s="305">
        <v>45.79</v>
      </c>
      <c r="L14" s="305">
        <v>59.274</v>
      </c>
      <c r="M14" s="305">
        <v>67.647</v>
      </c>
      <c r="N14" s="305">
        <v>86.555</v>
      </c>
      <c r="O14" s="305">
        <v>116.621</v>
      </c>
      <c r="P14" s="305">
        <v>126.018</v>
      </c>
      <c r="Q14" s="305">
        <v>8.178</v>
      </c>
      <c r="R14" s="305">
        <v>3.007</v>
      </c>
      <c r="S14" s="305">
        <v>4.561</v>
      </c>
      <c r="T14" s="305">
        <v>7.385</v>
      </c>
      <c r="U14" s="307"/>
      <c r="V14" s="329"/>
    </row>
    <row r="15" spans="2:21" ht="19.5" customHeight="1">
      <c r="B15" s="309" t="s">
        <v>78</v>
      </c>
      <c r="C15" s="854">
        <v>672.381</v>
      </c>
      <c r="D15" s="855">
        <v>753.226</v>
      </c>
      <c r="E15" s="855">
        <v>770.183</v>
      </c>
      <c r="F15" s="855">
        <v>791.345</v>
      </c>
      <c r="G15" s="855">
        <v>808.215</v>
      </c>
      <c r="H15" s="855">
        <v>832.228</v>
      </c>
      <c r="I15" s="855">
        <f>827.237+52.686</f>
        <v>879.923</v>
      </c>
      <c r="J15" s="855">
        <v>936.363</v>
      </c>
      <c r="K15" s="855">
        <v>1001.118</v>
      </c>
      <c r="L15" s="855">
        <v>1071.033</v>
      </c>
      <c r="M15" s="855">
        <v>1144.375</v>
      </c>
      <c r="N15" s="855">
        <f>1225.665</f>
        <v>1225.665</v>
      </c>
      <c r="O15" s="855">
        <f>1340.655</f>
        <v>1340.655</v>
      </c>
      <c r="P15" s="855">
        <v>1453.842</v>
      </c>
      <c r="Q15" s="855">
        <f>Q10+Q11+Q12+Q13+Q14+Q7</f>
        <v>1530.8760000000002</v>
      </c>
      <c r="R15" s="855">
        <f>R10+R11+R12+R13+R14+R7</f>
        <v>1595.922</v>
      </c>
      <c r="S15" s="855">
        <v>1652.479</v>
      </c>
      <c r="T15" s="855">
        <v>1707.066</v>
      </c>
      <c r="U15" s="310"/>
    </row>
    <row r="16" spans="2:21" ht="19.5" customHeight="1">
      <c r="B16" s="311"/>
      <c r="C16" s="1070" t="s">
        <v>99</v>
      </c>
      <c r="D16" s="1071"/>
      <c r="E16" s="1071"/>
      <c r="F16" s="1071"/>
      <c r="G16" s="1071"/>
      <c r="H16" s="1071"/>
      <c r="I16" s="1071"/>
      <c r="J16" s="1071"/>
      <c r="K16" s="1071"/>
      <c r="L16" s="1071"/>
      <c r="M16" s="1071"/>
      <c r="N16" s="1071"/>
      <c r="O16" s="1071"/>
      <c r="P16" s="1071"/>
      <c r="Q16" s="1071"/>
      <c r="R16" s="1071"/>
      <c r="S16" s="1071"/>
      <c r="T16" s="1071"/>
      <c r="U16" s="1072"/>
    </row>
    <row r="17" spans="2:21" ht="19.5" customHeight="1">
      <c r="B17" s="49" t="s">
        <v>224</v>
      </c>
      <c r="C17" s="312">
        <f aca="true" t="shared" si="0" ref="C17:J17">C8/C15</f>
        <v>0.3324960104464582</v>
      </c>
      <c r="D17" s="313">
        <f t="shared" si="0"/>
        <v>0.34249348801023866</v>
      </c>
      <c r="E17" s="313">
        <f t="shared" si="0"/>
        <v>0.3458230057012424</v>
      </c>
      <c r="F17" s="313">
        <f t="shared" si="0"/>
        <v>0.34701931521649854</v>
      </c>
      <c r="G17" s="313">
        <f t="shared" si="0"/>
        <v>0.3432081809914441</v>
      </c>
      <c r="H17" s="313">
        <f t="shared" si="0"/>
        <v>0.35181584854150555</v>
      </c>
      <c r="I17" s="313">
        <f t="shared" si="0"/>
        <v>0.36008832591033535</v>
      </c>
      <c r="J17" s="313">
        <f t="shared" si="0"/>
        <v>0.35468082356949177</v>
      </c>
      <c r="K17" s="313">
        <f>K8/K15</f>
        <v>0.3680744927171422</v>
      </c>
      <c r="L17" s="313">
        <f>L8/L15</f>
        <v>0.3660503457876649</v>
      </c>
      <c r="M17" s="314">
        <f>M8/M15</f>
        <v>0.3651731294374658</v>
      </c>
      <c r="N17" s="314">
        <f>N8/N15</f>
        <v>0.3526624322306666</v>
      </c>
      <c r="O17" s="314">
        <f>O8/O15</f>
        <v>0.3434134807239745</v>
      </c>
      <c r="P17" s="475">
        <v>0.3498186185293863</v>
      </c>
      <c r="Q17" s="853">
        <f>Q8/Q15</f>
        <v>0.35601315847919746</v>
      </c>
      <c r="R17" s="853">
        <f>R8/R15</f>
        <v>0.3603127220503257</v>
      </c>
      <c r="S17" s="853">
        <f>S8/S15</f>
        <v>0.363177383797313</v>
      </c>
      <c r="T17" s="853">
        <f>T8/T15</f>
        <v>0.36654177401459587</v>
      </c>
      <c r="U17" s="315"/>
    </row>
    <row r="18" spans="2:21" ht="19.5" customHeight="1">
      <c r="B18" s="50" t="s">
        <v>229</v>
      </c>
      <c r="C18" s="316">
        <f aca="true" t="shared" si="1" ref="C18:J18">C9/C15</f>
        <v>0.3086687458449897</v>
      </c>
      <c r="D18" s="317">
        <f t="shared" si="1"/>
        <v>0.3286516928518134</v>
      </c>
      <c r="E18" s="317">
        <f t="shared" si="1"/>
        <v>0.3340167207014437</v>
      </c>
      <c r="F18" s="317">
        <f t="shared" si="1"/>
        <v>0.3342701350232832</v>
      </c>
      <c r="G18" s="317">
        <f t="shared" si="1"/>
        <v>0.3305976751235748</v>
      </c>
      <c r="H18" s="317">
        <f t="shared" si="1"/>
        <v>0.33905492244913654</v>
      </c>
      <c r="I18" s="317">
        <f t="shared" si="1"/>
        <v>0.34665533234157986</v>
      </c>
      <c r="J18" s="317">
        <f t="shared" si="1"/>
        <v>0.3430763496635386</v>
      </c>
      <c r="K18" s="317">
        <f>K9/K15</f>
        <v>0.35545260398874057</v>
      </c>
      <c r="L18" s="317">
        <f>L9/L15</f>
        <v>0.3523551561903322</v>
      </c>
      <c r="M18" s="318">
        <f>M9/M15</f>
        <v>0.3520559257236483</v>
      </c>
      <c r="N18" s="318">
        <f>N9/N15</f>
        <v>0.3407211595338041</v>
      </c>
      <c r="O18" s="318">
        <f>O9/O15</f>
        <v>0.3316475901704764</v>
      </c>
      <c r="P18" s="318">
        <v>0.33754905966398</v>
      </c>
      <c r="Q18" s="318"/>
      <c r="R18" s="318">
        <f>R9/R15</f>
        <v>0.3497564417308615</v>
      </c>
      <c r="S18" s="318">
        <f>S9/S15</f>
        <v>0.35371342086646784</v>
      </c>
      <c r="T18" s="318">
        <f>T9/T15</f>
        <v>0.35806699916699175</v>
      </c>
      <c r="U18" s="319"/>
    </row>
    <row r="19" spans="2:23" ht="27.75" customHeight="1">
      <c r="B19" s="51" t="s">
        <v>225</v>
      </c>
      <c r="C19" s="320">
        <v>0.565</v>
      </c>
      <c r="D19" s="321">
        <v>0.681</v>
      </c>
      <c r="E19" s="321">
        <v>0.664</v>
      </c>
      <c r="F19" s="321">
        <v>0.668</v>
      </c>
      <c r="G19" s="321">
        <v>0.678</v>
      </c>
      <c r="H19" s="321">
        <v>0.678</v>
      </c>
      <c r="I19" s="322">
        <v>0.678</v>
      </c>
      <c r="J19" s="322">
        <v>0.677</v>
      </c>
      <c r="K19" s="322">
        <v>0.693</v>
      </c>
      <c r="L19" s="322">
        <v>0.686</v>
      </c>
      <c r="M19" s="323">
        <v>0.694</v>
      </c>
      <c r="N19" s="323">
        <v>0.694</v>
      </c>
      <c r="O19" s="323">
        <v>0.6910853411931825</v>
      </c>
      <c r="P19" s="476">
        <v>0.7058462663764475</v>
      </c>
      <c r="Q19" s="323"/>
      <c r="R19" s="323">
        <v>0.7401988063273004</v>
      </c>
      <c r="S19" s="323">
        <v>0.7549200773815574</v>
      </c>
      <c r="T19" s="323">
        <v>0.7773013419933482</v>
      </c>
      <c r="U19" s="324"/>
      <c r="W19" s="329"/>
    </row>
    <row r="20" spans="2:23" ht="24.75" customHeight="1">
      <c r="B20" s="52" t="s">
        <v>230</v>
      </c>
      <c r="C20" s="325">
        <v>0.577</v>
      </c>
      <c r="D20" s="326">
        <v>0.677</v>
      </c>
      <c r="E20" s="326">
        <v>0.67</v>
      </c>
      <c r="F20" s="326">
        <v>0.667</v>
      </c>
      <c r="G20" s="326">
        <v>0.677</v>
      </c>
      <c r="H20" s="326">
        <v>0.677</v>
      </c>
      <c r="I20" s="326">
        <v>0.67038</v>
      </c>
      <c r="J20" s="326">
        <v>0.676</v>
      </c>
      <c r="K20" s="326">
        <v>0.694</v>
      </c>
      <c r="L20" s="326">
        <v>0.687</v>
      </c>
      <c r="M20" s="327">
        <v>0.693</v>
      </c>
      <c r="N20" s="327">
        <v>0.693</v>
      </c>
      <c r="O20" s="327">
        <v>0.6912836660106834</v>
      </c>
      <c r="P20" s="327">
        <v>0.7059927497692273</v>
      </c>
      <c r="Q20" s="327"/>
      <c r="R20" s="327">
        <v>0.7415368408983418</v>
      </c>
      <c r="S20" s="327">
        <v>0.7564841301342679</v>
      </c>
      <c r="T20" s="327">
        <v>0.7783225684014895</v>
      </c>
      <c r="U20" s="328"/>
      <c r="W20" s="329"/>
    </row>
    <row r="21" spans="2:16" ht="26.25" customHeight="1">
      <c r="B21" s="1069" t="s">
        <v>240</v>
      </c>
      <c r="C21" s="1069"/>
      <c r="D21" s="1069"/>
      <c r="E21" s="1069"/>
      <c r="F21" s="1069"/>
      <c r="G21" s="1069"/>
      <c r="H21" s="1069"/>
      <c r="I21" s="1069"/>
      <c r="J21" s="1069"/>
      <c r="K21" s="1069"/>
      <c r="L21" s="1032"/>
      <c r="M21" s="493"/>
      <c r="N21" s="493"/>
      <c r="O21" s="493"/>
      <c r="P21" s="493"/>
    </row>
    <row r="22" spans="1:16" ht="15" customHeight="1">
      <c r="A22" s="1"/>
      <c r="B22" s="1065" t="s">
        <v>186</v>
      </c>
      <c r="C22" s="1065"/>
      <c r="D22" s="1065"/>
      <c r="E22" s="1065"/>
      <c r="F22" s="1065"/>
      <c r="G22" s="1065"/>
      <c r="H22" s="1065"/>
      <c r="I22" s="1065"/>
      <c r="J22" s="1065"/>
      <c r="K22" s="1028"/>
      <c r="L22" s="1028"/>
      <c r="M22" s="493"/>
      <c r="N22" s="493"/>
      <c r="O22" s="493"/>
      <c r="P22" s="493"/>
    </row>
    <row r="23" spans="1:20" ht="15" customHeight="1">
      <c r="A23" s="1"/>
      <c r="B23" s="1066" t="s">
        <v>168</v>
      </c>
      <c r="C23" s="1066"/>
      <c r="D23" s="1066"/>
      <c r="E23" s="1066"/>
      <c r="F23" s="1066"/>
      <c r="G23" s="1066"/>
      <c r="H23" s="1066"/>
      <c r="I23" s="1066"/>
      <c r="J23" s="1066"/>
      <c r="K23" s="1067"/>
      <c r="L23" s="1067"/>
      <c r="M23" s="329"/>
      <c r="N23" s="329"/>
      <c r="O23" s="329"/>
      <c r="P23" s="329"/>
      <c r="Q23" s="329"/>
      <c r="R23" s="329"/>
      <c r="S23" s="329"/>
      <c r="T23" s="329"/>
    </row>
    <row r="24" spans="1:16" ht="24.75" customHeight="1">
      <c r="A24" s="1"/>
      <c r="B24" s="1068" t="s">
        <v>218</v>
      </c>
      <c r="C24" s="1068"/>
      <c r="D24" s="1068"/>
      <c r="E24" s="1068"/>
      <c r="F24" s="1068"/>
      <c r="G24" s="1068"/>
      <c r="H24" s="1068"/>
      <c r="I24" s="1068"/>
      <c r="J24" s="1068"/>
      <c r="K24" s="1068"/>
      <c r="L24" s="1028"/>
      <c r="M24" s="329"/>
      <c r="N24" s="493"/>
      <c r="O24" s="493"/>
      <c r="P24" s="493"/>
    </row>
    <row r="25" spans="1:16" ht="14.25" customHeight="1">
      <c r="A25" s="1"/>
      <c r="B25" s="757" t="s">
        <v>226</v>
      </c>
      <c r="C25" s="757"/>
      <c r="D25" s="757"/>
      <c r="E25" s="757"/>
      <c r="F25" s="757"/>
      <c r="G25" s="757"/>
      <c r="H25" s="757"/>
      <c r="I25" s="757"/>
      <c r="J25" s="757"/>
      <c r="K25" s="757"/>
      <c r="L25" s="755"/>
      <c r="M25" s="329"/>
      <c r="N25" s="493"/>
      <c r="O25" s="493"/>
      <c r="P25" s="493"/>
    </row>
    <row r="26" spans="2:16" ht="22.5" customHeight="1">
      <c r="B26" s="1068" t="s">
        <v>219</v>
      </c>
      <c r="C26" s="1068"/>
      <c r="D26" s="1068"/>
      <c r="E26" s="1068"/>
      <c r="F26" s="1068"/>
      <c r="G26" s="1068"/>
      <c r="H26" s="1068"/>
      <c r="I26" s="1068"/>
      <c r="J26" s="1068"/>
      <c r="K26" s="1028"/>
      <c r="L26" s="1028"/>
      <c r="M26" s="493"/>
      <c r="N26" s="493"/>
      <c r="O26" s="493"/>
      <c r="P26" s="493"/>
    </row>
    <row r="27" ht="12.75">
      <c r="B27" s="3"/>
    </row>
  </sheetData>
  <sheetProtection/>
  <mergeCells count="12">
    <mergeCell ref="C16:U16"/>
    <mergeCell ref="B1:C1"/>
    <mergeCell ref="B4:B6"/>
    <mergeCell ref="M1:U1"/>
    <mergeCell ref="B3:U3"/>
    <mergeCell ref="C6:U6"/>
    <mergeCell ref="B2:R2"/>
    <mergeCell ref="B22:L22"/>
    <mergeCell ref="B23:L23"/>
    <mergeCell ref="B24:L24"/>
    <mergeCell ref="B26:L26"/>
    <mergeCell ref="B21:L21"/>
  </mergeCells>
  <printOptions horizontalCentered="1"/>
  <pageMargins left="0.6692913385826772" right="0.6692913385826772" top="0.5118110236220472" bottom="0.2755905511811024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85"/>
  <dimension ref="B1:N47"/>
  <sheetViews>
    <sheetView zoomScalePageLayoutView="0" workbookViewId="0" topLeftCell="A10">
      <selection activeCell="P10" sqref="P10"/>
    </sheetView>
  </sheetViews>
  <sheetFormatPr defaultColWidth="9.140625" defaultRowHeight="12.75"/>
  <cols>
    <col min="1" max="1" width="1.8515625" style="0" customWidth="1"/>
    <col min="2" max="2" width="22.7109375" style="0" customWidth="1"/>
    <col min="3" max="3" width="8.00390625" style="0" customWidth="1"/>
    <col min="4" max="4" width="1.7109375" style="0" customWidth="1"/>
    <col min="5" max="5" width="6.7109375" style="0" customWidth="1"/>
    <col min="6" max="6" width="1.7109375" style="0" customWidth="1"/>
    <col min="7" max="7" width="5.7109375" style="0" customWidth="1"/>
    <col min="8" max="8" width="12.421875" style="0" customWidth="1"/>
    <col min="9" max="9" width="1.7109375" style="0" customWidth="1"/>
    <col min="10" max="10" width="9.7109375" style="0" customWidth="1"/>
    <col min="11" max="11" width="1.7109375" style="0" customWidth="1"/>
    <col min="12" max="12" width="7.28125" style="0" customWidth="1"/>
    <col min="13" max="13" width="2.57421875" style="0" customWidth="1"/>
  </cols>
  <sheetData>
    <row r="1" spans="2:13" ht="14.25" customHeight="1">
      <c r="B1" s="1073"/>
      <c r="C1" s="1073"/>
      <c r="D1" s="109"/>
      <c r="E1" s="68"/>
      <c r="M1" s="16" t="s">
        <v>158</v>
      </c>
    </row>
    <row r="2" spans="2:12" s="44" customFormat="1" ht="30" customHeight="1">
      <c r="B2" s="1048" t="s">
        <v>23</v>
      </c>
      <c r="C2" s="1048"/>
      <c r="D2" s="1048"/>
      <c r="E2" s="1048"/>
      <c r="F2" s="1048"/>
      <c r="G2" s="1048"/>
      <c r="H2" s="1048"/>
      <c r="I2" s="1048"/>
      <c r="J2" s="1048"/>
      <c r="K2" s="1048"/>
      <c r="L2" s="1048"/>
    </row>
    <row r="3" spans="2:12" s="91" customFormat="1" ht="30" customHeight="1">
      <c r="B3" s="1093" t="s">
        <v>133</v>
      </c>
      <c r="C3" s="1093"/>
      <c r="D3" s="1093"/>
      <c r="E3" s="1093"/>
      <c r="F3" s="1093"/>
      <c r="G3" s="1093"/>
      <c r="H3" s="1093"/>
      <c r="I3" s="1093"/>
      <c r="J3" s="1093"/>
      <c r="K3" s="1093"/>
      <c r="L3" s="1093"/>
    </row>
    <row r="4" spans="2:12" ht="19.5" customHeight="1">
      <c r="B4" s="330" t="s">
        <v>262</v>
      </c>
      <c r="C4" s="1053" t="s">
        <v>21</v>
      </c>
      <c r="D4" s="1054"/>
      <c r="E4" s="1054"/>
      <c r="F4" s="1054"/>
      <c r="G4" s="1055"/>
      <c r="H4" s="1053" t="s">
        <v>187</v>
      </c>
      <c r="I4" s="1054"/>
      <c r="J4" s="1054"/>
      <c r="K4" s="1054"/>
      <c r="L4" s="1055"/>
    </row>
    <row r="5" spans="2:12" ht="19.5" customHeight="1">
      <c r="B5" s="294" t="s">
        <v>33</v>
      </c>
      <c r="C5" s="1088" t="s">
        <v>77</v>
      </c>
      <c r="D5" s="1089"/>
      <c r="E5" s="1090" t="s">
        <v>222</v>
      </c>
      <c r="F5" s="1091"/>
      <c r="G5" s="331" t="s">
        <v>104</v>
      </c>
      <c r="H5" s="1088" t="s">
        <v>77</v>
      </c>
      <c r="I5" s="1089"/>
      <c r="J5" s="1090" t="s">
        <v>222</v>
      </c>
      <c r="K5" s="1091"/>
      <c r="L5" s="331" t="s">
        <v>104</v>
      </c>
    </row>
    <row r="6" spans="2:14" ht="30" customHeight="1">
      <c r="B6" s="332" t="s">
        <v>110</v>
      </c>
      <c r="C6" s="856">
        <v>41822</v>
      </c>
      <c r="D6" s="857"/>
      <c r="E6" s="858">
        <v>13340</v>
      </c>
      <c r="F6" s="333"/>
      <c r="G6" s="334">
        <f>E6/C6</f>
        <v>0.3189708765721391</v>
      </c>
      <c r="H6" s="856">
        <v>1707066</v>
      </c>
      <c r="I6" s="874"/>
      <c r="J6" s="858">
        <v>625711</v>
      </c>
      <c r="K6" s="858"/>
      <c r="L6" s="334">
        <f>J6/H6</f>
        <v>0.3665417740145958</v>
      </c>
      <c r="N6" s="42"/>
    </row>
    <row r="7" spans="2:14" ht="24.75" customHeight="1">
      <c r="B7" s="335" t="s">
        <v>134</v>
      </c>
      <c r="C7" s="859">
        <f>C9+C10+C11</f>
        <v>11511</v>
      </c>
      <c r="D7" s="860"/>
      <c r="E7" s="861">
        <f>E9+E10+E11</f>
        <v>3514</v>
      </c>
      <c r="F7" s="239"/>
      <c r="G7" s="336">
        <f aca="true" t="shared" si="0" ref="G7:G23">E7/C7</f>
        <v>0.3052732169229433</v>
      </c>
      <c r="H7" s="859">
        <f>H9+H10+H11</f>
        <v>597131</v>
      </c>
      <c r="I7" s="875"/>
      <c r="J7" s="861">
        <f>J9+J10+J11</f>
        <v>217969</v>
      </c>
      <c r="K7" s="861"/>
      <c r="L7" s="337">
        <f aca="true" t="shared" si="1" ref="L7:L23">J7/H7</f>
        <v>0.3650271046051871</v>
      </c>
      <c r="N7" s="42"/>
    </row>
    <row r="8" spans="2:14" ht="10.5" customHeight="1">
      <c r="B8" s="338" t="s">
        <v>84</v>
      </c>
      <c r="C8" s="862"/>
      <c r="D8" s="863"/>
      <c r="E8" s="864"/>
      <c r="F8" s="66"/>
      <c r="G8" s="339"/>
      <c r="H8" s="862"/>
      <c r="I8" s="863"/>
      <c r="J8" s="876"/>
      <c r="K8" s="876"/>
      <c r="L8" s="341"/>
      <c r="N8" s="42"/>
    </row>
    <row r="9" spans="2:14" ht="22.5" customHeight="1">
      <c r="B9" s="342" t="s">
        <v>241</v>
      </c>
      <c r="C9" s="862">
        <v>5402</v>
      </c>
      <c r="D9" s="863"/>
      <c r="E9" s="864">
        <v>1461</v>
      </c>
      <c r="F9" s="66"/>
      <c r="G9" s="339">
        <f t="shared" si="0"/>
        <v>0.27045538689374304</v>
      </c>
      <c r="H9" s="862">
        <v>441854</v>
      </c>
      <c r="I9" s="863"/>
      <c r="J9" s="876">
        <v>158768</v>
      </c>
      <c r="K9" s="876"/>
      <c r="L9" s="341">
        <f t="shared" si="1"/>
        <v>0.3593223100843265</v>
      </c>
      <c r="N9" s="42"/>
    </row>
    <row r="10" spans="2:14" ht="15" customHeight="1">
      <c r="B10" s="342" t="s">
        <v>242</v>
      </c>
      <c r="C10" s="862">
        <v>4564</v>
      </c>
      <c r="D10" s="863"/>
      <c r="E10" s="864">
        <v>1604</v>
      </c>
      <c r="F10" s="66"/>
      <c r="G10" s="339">
        <f t="shared" si="0"/>
        <v>0.3514460999123576</v>
      </c>
      <c r="H10" s="862">
        <v>101033</v>
      </c>
      <c r="I10" s="863"/>
      <c r="J10" s="876">
        <v>45576</v>
      </c>
      <c r="K10" s="877"/>
      <c r="L10" s="341">
        <f t="shared" si="1"/>
        <v>0.45110013559925966</v>
      </c>
      <c r="N10" s="42"/>
    </row>
    <row r="11" spans="2:14" ht="15" customHeight="1">
      <c r="B11" s="342" t="s">
        <v>87</v>
      </c>
      <c r="C11" s="862">
        <v>1545</v>
      </c>
      <c r="D11" s="863"/>
      <c r="E11" s="864">
        <v>449</v>
      </c>
      <c r="F11" s="66"/>
      <c r="G11" s="339">
        <f t="shared" si="0"/>
        <v>0.2906148867313916</v>
      </c>
      <c r="H11" s="876">
        <v>54244</v>
      </c>
      <c r="I11" s="863"/>
      <c r="J11" s="876">
        <v>13625</v>
      </c>
      <c r="K11" s="877"/>
      <c r="L11" s="341">
        <f t="shared" si="1"/>
        <v>0.25117985399306836</v>
      </c>
      <c r="N11" s="42"/>
    </row>
    <row r="12" spans="2:14" ht="24.75" customHeight="1">
      <c r="B12" s="343" t="s">
        <v>31</v>
      </c>
      <c r="C12" s="865">
        <v>10507</v>
      </c>
      <c r="D12" s="866"/>
      <c r="E12" s="867">
        <v>3123</v>
      </c>
      <c r="F12" s="344"/>
      <c r="G12" s="334">
        <f t="shared" si="0"/>
        <v>0.2972304178166936</v>
      </c>
      <c r="H12" s="865">
        <v>752104</v>
      </c>
      <c r="I12" s="866"/>
      <c r="J12" s="878">
        <v>233550</v>
      </c>
      <c r="K12" s="879"/>
      <c r="L12" s="346">
        <f t="shared" si="1"/>
        <v>0.310528863029581</v>
      </c>
      <c r="N12" s="42"/>
    </row>
    <row r="13" spans="2:14" ht="9.75" customHeight="1" hidden="1">
      <c r="B13" s="338" t="s">
        <v>84</v>
      </c>
      <c r="C13" s="862"/>
      <c r="D13" s="863"/>
      <c r="E13" s="864"/>
      <c r="F13" s="66"/>
      <c r="G13" s="334" t="e">
        <f t="shared" si="0"/>
        <v>#DIV/0!</v>
      </c>
      <c r="H13" s="862"/>
      <c r="I13" s="863"/>
      <c r="J13" s="876"/>
      <c r="K13" s="876"/>
      <c r="L13" s="341" t="e">
        <f t="shared" si="1"/>
        <v>#DIV/0!</v>
      </c>
      <c r="N13" s="42"/>
    </row>
    <row r="14" spans="2:14" ht="15" customHeight="1" hidden="1">
      <c r="B14" s="347" t="s">
        <v>88</v>
      </c>
      <c r="C14" s="868"/>
      <c r="D14" s="869"/>
      <c r="E14" s="870"/>
      <c r="F14" s="65"/>
      <c r="G14" s="334" t="e">
        <f t="shared" si="0"/>
        <v>#DIV/0!</v>
      </c>
      <c r="H14" s="868"/>
      <c r="I14" s="869"/>
      <c r="J14" s="880"/>
      <c r="K14" s="880"/>
      <c r="L14" s="349" t="e">
        <f t="shared" si="1"/>
        <v>#DIV/0!</v>
      </c>
      <c r="N14" s="42"/>
    </row>
    <row r="15" spans="2:14" ht="24.75" customHeight="1">
      <c r="B15" s="332" t="s">
        <v>89</v>
      </c>
      <c r="C15" s="856">
        <v>5226</v>
      </c>
      <c r="D15" s="871"/>
      <c r="E15" s="872">
        <v>2768</v>
      </c>
      <c r="F15" s="350"/>
      <c r="G15" s="334">
        <f t="shared" si="0"/>
        <v>0.5296593953310371</v>
      </c>
      <c r="H15" s="856">
        <v>244165</v>
      </c>
      <c r="I15" s="871"/>
      <c r="J15" s="858">
        <v>140298</v>
      </c>
      <c r="K15" s="881"/>
      <c r="L15" s="351">
        <f t="shared" si="1"/>
        <v>0.5746032396125571</v>
      </c>
      <c r="N15" s="42"/>
    </row>
    <row r="16" spans="2:14" ht="24.75" customHeight="1">
      <c r="B16" s="335" t="s">
        <v>32</v>
      </c>
      <c r="C16" s="859">
        <v>12383</v>
      </c>
      <c r="D16" s="873"/>
      <c r="E16" s="861">
        <v>3198</v>
      </c>
      <c r="F16" s="67"/>
      <c r="G16" s="336">
        <f t="shared" si="0"/>
        <v>0.2582572882177178</v>
      </c>
      <c r="H16" s="859">
        <v>107566</v>
      </c>
      <c r="I16" s="873"/>
      <c r="J16" s="861">
        <v>31514</v>
      </c>
      <c r="K16" s="882"/>
      <c r="L16" s="352">
        <f t="shared" si="1"/>
        <v>0.292973616198427</v>
      </c>
      <c r="N16" s="42"/>
    </row>
    <row r="17" spans="2:14" ht="10.5" customHeight="1">
      <c r="B17" s="338" t="s">
        <v>84</v>
      </c>
      <c r="C17" s="862"/>
      <c r="D17" s="863"/>
      <c r="E17" s="864"/>
      <c r="F17" s="66"/>
      <c r="G17" s="339"/>
      <c r="H17" s="862"/>
      <c r="I17" s="863"/>
      <c r="J17" s="876"/>
      <c r="K17" s="876"/>
      <c r="L17" s="341"/>
      <c r="N17" s="42"/>
    </row>
    <row r="18" spans="2:14" ht="15" customHeight="1">
      <c r="B18" s="342" t="s">
        <v>243</v>
      </c>
      <c r="C18" s="862">
        <v>8647</v>
      </c>
      <c r="D18" s="863"/>
      <c r="E18" s="864">
        <v>2099</v>
      </c>
      <c r="F18" s="66"/>
      <c r="G18" s="339">
        <f t="shared" si="0"/>
        <v>0.24274314791257084</v>
      </c>
      <c r="H18" s="862">
        <v>47462</v>
      </c>
      <c r="I18" s="863"/>
      <c r="J18" s="876">
        <v>13471</v>
      </c>
      <c r="K18" s="876"/>
      <c r="L18" s="341">
        <f t="shared" si="1"/>
        <v>0.2838270616493195</v>
      </c>
      <c r="M18" s="68"/>
      <c r="N18" s="42"/>
    </row>
    <row r="19" spans="2:14" ht="15" customHeight="1">
      <c r="B19" s="342" t="s">
        <v>244</v>
      </c>
      <c r="C19" s="862">
        <v>1380</v>
      </c>
      <c r="D19" s="863"/>
      <c r="E19" s="864">
        <v>513</v>
      </c>
      <c r="F19" s="66"/>
      <c r="G19" s="339">
        <f t="shared" si="0"/>
        <v>0.3717391304347826</v>
      </c>
      <c r="H19" s="862">
        <v>36340</v>
      </c>
      <c r="I19" s="863"/>
      <c r="J19" s="876">
        <v>10939</v>
      </c>
      <c r="K19" s="876"/>
      <c r="L19" s="341">
        <f t="shared" si="1"/>
        <v>0.3010181618051734</v>
      </c>
      <c r="N19" s="42"/>
    </row>
    <row r="20" spans="2:14" ht="15" customHeight="1">
      <c r="B20" s="342" t="s">
        <v>245</v>
      </c>
      <c r="C20" s="862">
        <v>781</v>
      </c>
      <c r="D20" s="863"/>
      <c r="E20" s="864">
        <v>105</v>
      </c>
      <c r="F20" s="66"/>
      <c r="G20" s="339">
        <f t="shared" si="0"/>
        <v>0.13444302176696543</v>
      </c>
      <c r="H20" s="862">
        <v>12358</v>
      </c>
      <c r="I20" s="863"/>
      <c r="J20" s="876">
        <v>1527</v>
      </c>
      <c r="K20" s="876"/>
      <c r="L20" s="341">
        <f t="shared" si="1"/>
        <v>0.12356368344392296</v>
      </c>
      <c r="M20" s="68"/>
      <c r="N20" s="42"/>
    </row>
    <row r="21" spans="2:14" ht="15" customHeight="1">
      <c r="B21" s="342" t="s">
        <v>85</v>
      </c>
      <c r="C21" s="862">
        <v>697</v>
      </c>
      <c r="D21" s="863"/>
      <c r="E21" s="864">
        <v>197</v>
      </c>
      <c r="F21" s="66"/>
      <c r="G21" s="339">
        <f t="shared" si="0"/>
        <v>0.28263988522238165</v>
      </c>
      <c r="H21" s="862">
        <v>4353</v>
      </c>
      <c r="I21" s="863"/>
      <c r="J21" s="876">
        <v>1819</v>
      </c>
      <c r="K21" s="876"/>
      <c r="L21" s="341">
        <f t="shared" si="1"/>
        <v>0.417872731449575</v>
      </c>
      <c r="N21" s="42"/>
    </row>
    <row r="22" spans="2:14" ht="15" customHeight="1">
      <c r="B22" s="353" t="s">
        <v>246</v>
      </c>
      <c r="C22" s="868">
        <v>878</v>
      </c>
      <c r="D22" s="869"/>
      <c r="E22" s="870">
        <v>284</v>
      </c>
      <c r="F22" s="65"/>
      <c r="G22" s="354">
        <f t="shared" si="0"/>
        <v>0.3234624145785877</v>
      </c>
      <c r="H22" s="868">
        <v>7052</v>
      </c>
      <c r="I22" s="869"/>
      <c r="J22" s="870">
        <v>3758</v>
      </c>
      <c r="K22" s="880"/>
      <c r="L22" s="349">
        <f t="shared" si="1"/>
        <v>0.5328984685195689</v>
      </c>
      <c r="N22" s="42"/>
    </row>
    <row r="23" spans="2:14" ht="24.75" customHeight="1">
      <c r="B23" s="332" t="s">
        <v>135</v>
      </c>
      <c r="C23" s="856">
        <v>2195</v>
      </c>
      <c r="D23" s="871"/>
      <c r="E23" s="872">
        <v>737</v>
      </c>
      <c r="F23" s="350"/>
      <c r="G23" s="334">
        <f t="shared" si="0"/>
        <v>0.3357630979498861</v>
      </c>
      <c r="H23" s="856">
        <v>6110</v>
      </c>
      <c r="I23" s="871"/>
      <c r="J23" s="858">
        <v>2382</v>
      </c>
      <c r="K23" s="881"/>
      <c r="L23" s="351">
        <f t="shared" si="1"/>
        <v>0.38985270049099835</v>
      </c>
      <c r="N23" s="134"/>
    </row>
    <row r="24" spans="2:14" ht="15" customHeight="1">
      <c r="B24" s="355"/>
      <c r="C24" s="356"/>
      <c r="D24" s="66"/>
      <c r="E24" s="356"/>
      <c r="F24" s="66"/>
      <c r="G24" s="66"/>
      <c r="H24" s="356"/>
      <c r="I24" s="262"/>
      <c r="J24" s="356"/>
      <c r="K24" s="340"/>
      <c r="L24" s="340"/>
      <c r="N24" s="134"/>
    </row>
    <row r="25" spans="2:14" s="44" customFormat="1" ht="30" customHeight="1">
      <c r="B25" s="1092" t="s">
        <v>169</v>
      </c>
      <c r="C25" s="1092"/>
      <c r="D25" s="1092"/>
      <c r="E25" s="1092"/>
      <c r="F25" s="1092"/>
      <c r="G25" s="1092"/>
      <c r="H25" s="1092"/>
      <c r="I25" s="1092"/>
      <c r="J25" s="1092"/>
      <c r="K25" s="1092"/>
      <c r="L25" s="1092"/>
      <c r="N25" s="135"/>
    </row>
    <row r="26" spans="2:12" ht="19.5" customHeight="1">
      <c r="B26" s="330" t="s">
        <v>262</v>
      </c>
      <c r="C26" s="1053" t="s">
        <v>21</v>
      </c>
      <c r="D26" s="1054"/>
      <c r="E26" s="1054"/>
      <c r="F26" s="1054"/>
      <c r="G26" s="1055"/>
      <c r="H26" s="1053" t="s">
        <v>188</v>
      </c>
      <c r="I26" s="1054"/>
      <c r="J26" s="1054"/>
      <c r="K26" s="1054"/>
      <c r="L26" s="1055"/>
    </row>
    <row r="27" spans="2:12" ht="19.5" customHeight="1">
      <c r="B27" s="294" t="s">
        <v>30</v>
      </c>
      <c r="C27" s="1088" t="s">
        <v>77</v>
      </c>
      <c r="D27" s="1089"/>
      <c r="E27" s="1090" t="s">
        <v>222</v>
      </c>
      <c r="F27" s="1091"/>
      <c r="G27" s="331" t="s">
        <v>104</v>
      </c>
      <c r="H27" s="1088" t="s">
        <v>77</v>
      </c>
      <c r="I27" s="1089"/>
      <c r="J27" s="1090" t="s">
        <v>222</v>
      </c>
      <c r="K27" s="1091"/>
      <c r="L27" s="331" t="s">
        <v>104</v>
      </c>
    </row>
    <row r="28" spans="2:12" ht="30" customHeight="1">
      <c r="B28" s="343" t="s">
        <v>78</v>
      </c>
      <c r="C28" s="699">
        <v>4316</v>
      </c>
      <c r="D28" s="883"/>
      <c r="E28" s="656">
        <v>1295</v>
      </c>
      <c r="F28" s="67"/>
      <c r="G28" s="336">
        <f>E28/C28</f>
        <v>0.3000463392029657</v>
      </c>
      <c r="H28" s="699">
        <v>37374</v>
      </c>
      <c r="I28" s="883"/>
      <c r="J28" s="656">
        <v>15797</v>
      </c>
      <c r="K28" s="345"/>
      <c r="L28" s="346">
        <f>J28/H28</f>
        <v>0.4226735163482635</v>
      </c>
    </row>
    <row r="29" spans="2:12" ht="24.75" customHeight="1">
      <c r="B29" s="357" t="s">
        <v>136</v>
      </c>
      <c r="C29" s="702">
        <v>2641</v>
      </c>
      <c r="D29" s="884"/>
      <c r="E29" s="885">
        <v>875</v>
      </c>
      <c r="F29" s="66"/>
      <c r="G29" s="339">
        <f>E29/C29</f>
        <v>0.33131389625141994</v>
      </c>
      <c r="H29" s="702">
        <v>17180</v>
      </c>
      <c r="I29" s="554"/>
      <c r="J29" s="554">
        <v>9448</v>
      </c>
      <c r="K29" s="340"/>
      <c r="L29" s="341">
        <f>J29/H29</f>
        <v>0.549941792782305</v>
      </c>
    </row>
    <row r="30" spans="2:12" ht="24.75" customHeight="1">
      <c r="B30" s="347" t="s">
        <v>193</v>
      </c>
      <c r="C30" s="796">
        <v>1675</v>
      </c>
      <c r="D30" s="886"/>
      <c r="E30" s="887">
        <v>420</v>
      </c>
      <c r="F30" s="65"/>
      <c r="G30" s="358">
        <f>E30/C30</f>
        <v>0.2507462686567164</v>
      </c>
      <c r="H30" s="796">
        <v>20194</v>
      </c>
      <c r="I30" s="568"/>
      <c r="J30" s="568">
        <v>6349</v>
      </c>
      <c r="K30" s="348"/>
      <c r="L30" s="341">
        <f>J30/H30</f>
        <v>0.31440031692581955</v>
      </c>
    </row>
    <row r="31" spans="2:12" ht="15" customHeight="1">
      <c r="B31" s="359"/>
      <c r="C31" s="360"/>
      <c r="D31" s="360"/>
      <c r="E31" s="360"/>
      <c r="F31" s="360"/>
      <c r="G31" s="361"/>
      <c r="H31" s="360"/>
      <c r="I31" s="362"/>
      <c r="J31" s="360"/>
      <c r="K31" s="362"/>
      <c r="L31" s="363"/>
    </row>
    <row r="32" spans="2:14" s="44" customFormat="1" ht="30" customHeight="1">
      <c r="B32" s="1087" t="s">
        <v>170</v>
      </c>
      <c r="C32" s="1087"/>
      <c r="D32" s="1087"/>
      <c r="E32" s="1087"/>
      <c r="F32" s="1087"/>
      <c r="G32" s="1087"/>
      <c r="H32" s="1087"/>
      <c r="I32" s="1087"/>
      <c r="J32" s="1087"/>
      <c r="K32" s="1087"/>
      <c r="L32" s="1087"/>
      <c r="N32" s="135"/>
    </row>
    <row r="33" spans="2:12" ht="19.5" customHeight="1">
      <c r="B33" s="330" t="s">
        <v>263</v>
      </c>
      <c r="C33" s="1053" t="s">
        <v>21</v>
      </c>
      <c r="D33" s="1054"/>
      <c r="E33" s="1054"/>
      <c r="F33" s="1054"/>
      <c r="G33" s="1055"/>
      <c r="H33" s="1053" t="s">
        <v>188</v>
      </c>
      <c r="I33" s="1054"/>
      <c r="J33" s="1054"/>
      <c r="K33" s="1054"/>
      <c r="L33" s="1055"/>
    </row>
    <row r="34" spans="2:12" ht="19.5" customHeight="1">
      <c r="B34" s="294" t="s">
        <v>33</v>
      </c>
      <c r="C34" s="1088" t="s">
        <v>77</v>
      </c>
      <c r="D34" s="1089"/>
      <c r="E34" s="1090" t="s">
        <v>222</v>
      </c>
      <c r="F34" s="1091"/>
      <c r="G34" s="331" t="s">
        <v>104</v>
      </c>
      <c r="H34" s="1088" t="s">
        <v>77</v>
      </c>
      <c r="I34" s="1089"/>
      <c r="J34" s="1090" t="s">
        <v>222</v>
      </c>
      <c r="K34" s="1091"/>
      <c r="L34" s="331" t="s">
        <v>104</v>
      </c>
    </row>
    <row r="35" spans="2:12" ht="30" customHeight="1">
      <c r="B35" s="353"/>
      <c r="C35" s="364">
        <v>301</v>
      </c>
      <c r="D35" s="365"/>
      <c r="E35" s="366">
        <f>40+26+15+8+4+1+2+1</f>
        <v>97</v>
      </c>
      <c r="F35" s="65"/>
      <c r="G35" s="358">
        <f>E35/C35</f>
        <v>0.3222591362126246</v>
      </c>
      <c r="H35" s="1009">
        <v>19759</v>
      </c>
      <c r="I35" s="367"/>
      <c r="J35" s="1009">
        <f>2399+2122+1004+691+42+35+20+3</f>
        <v>6316</v>
      </c>
      <c r="K35" s="348"/>
      <c r="L35" s="349">
        <f>J35/H35</f>
        <v>0.31965180424110534</v>
      </c>
    </row>
    <row r="36" spans="2:11" ht="15.75" customHeight="1">
      <c r="B36" s="1050" t="s">
        <v>189</v>
      </c>
      <c r="C36" s="1050"/>
      <c r="D36" s="1050"/>
      <c r="E36" s="1050"/>
      <c r="F36" s="1050"/>
      <c r="G36" s="1050"/>
      <c r="H36" s="1050"/>
      <c r="I36" s="1050"/>
      <c r="J36" s="1050"/>
      <c r="K36" s="48"/>
    </row>
    <row r="37" spans="2:11" ht="15" customHeight="1">
      <c r="B37" s="368" t="s">
        <v>0</v>
      </c>
      <c r="C37" s="369"/>
      <c r="D37" s="369"/>
      <c r="E37" s="369"/>
      <c r="F37" s="369"/>
      <c r="G37" s="369"/>
      <c r="H37" s="369"/>
      <c r="I37" s="369"/>
      <c r="J37" s="369"/>
      <c r="K37" s="369"/>
    </row>
    <row r="38" spans="2:11" s="902" customFormat="1" ht="15" customHeight="1">
      <c r="B38" s="61" t="s">
        <v>247</v>
      </c>
      <c r="C38" s="369"/>
      <c r="D38" s="369"/>
      <c r="E38" s="369"/>
      <c r="F38" s="369"/>
      <c r="G38" s="369"/>
      <c r="H38" s="369"/>
      <c r="I38" s="369"/>
      <c r="J38" s="369"/>
      <c r="K38" s="369"/>
    </row>
    <row r="39" spans="2:13" ht="13.5" customHeight="1">
      <c r="B39" s="1085" t="s">
        <v>251</v>
      </c>
      <c r="C39" s="1086"/>
      <c r="D39" s="1086"/>
      <c r="E39" s="1086"/>
      <c r="F39" s="1086"/>
      <c r="G39" s="1086"/>
      <c r="H39" s="1086"/>
      <c r="I39" s="1086"/>
      <c r="J39" s="1086"/>
      <c r="K39" s="1086"/>
      <c r="L39" s="1086"/>
      <c r="M39" s="1086"/>
    </row>
    <row r="40" spans="2:4" ht="12.75" customHeight="1">
      <c r="B40" s="61" t="s">
        <v>86</v>
      </c>
      <c r="C40" s="68"/>
      <c r="D40" s="68"/>
    </row>
    <row r="41" ht="12.75" customHeight="1">
      <c r="B41" s="61" t="s">
        <v>90</v>
      </c>
    </row>
    <row r="42" ht="12.75" customHeight="1"/>
    <row r="43" ht="12.75">
      <c r="B43" s="3"/>
    </row>
    <row r="45" ht="12.75">
      <c r="B45" s="370"/>
    </row>
    <row r="47" ht="12.75">
      <c r="B47" s="370"/>
    </row>
  </sheetData>
  <sheetProtection/>
  <mergeCells count="25">
    <mergeCell ref="C5:D5"/>
    <mergeCell ref="E5:F5"/>
    <mergeCell ref="H5:I5"/>
    <mergeCell ref="J5:K5"/>
    <mergeCell ref="B1:C1"/>
    <mergeCell ref="B2:L2"/>
    <mergeCell ref="B3:L3"/>
    <mergeCell ref="C4:G4"/>
    <mergeCell ref="H4:L4"/>
    <mergeCell ref="B25:L25"/>
    <mergeCell ref="C26:G26"/>
    <mergeCell ref="H26:L26"/>
    <mergeCell ref="C27:D27"/>
    <mergeCell ref="E27:F27"/>
    <mergeCell ref="H27:I27"/>
    <mergeCell ref="J27:K27"/>
    <mergeCell ref="B39:M39"/>
    <mergeCell ref="B36:J36"/>
    <mergeCell ref="B32:L32"/>
    <mergeCell ref="C33:G33"/>
    <mergeCell ref="H33:L33"/>
    <mergeCell ref="C34:D34"/>
    <mergeCell ref="E34:F34"/>
    <mergeCell ref="H34:I34"/>
    <mergeCell ref="J34:K34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42"/>
  <dimension ref="A1:K50"/>
  <sheetViews>
    <sheetView zoomScalePageLayoutView="0" workbookViewId="0" topLeftCell="A1">
      <selection activeCell="X40" sqref="A36:X40"/>
    </sheetView>
  </sheetViews>
  <sheetFormatPr defaultColWidth="9.140625" defaultRowHeight="12.75"/>
  <cols>
    <col min="1" max="1" width="3.7109375" style="3" customWidth="1"/>
    <col min="2" max="2" width="4.57421875" style="24" customWidth="1"/>
    <col min="3" max="7" width="8.7109375" style="24" customWidth="1"/>
    <col min="8" max="8" width="1.7109375" style="24" customWidth="1"/>
    <col min="9" max="9" width="4.8515625" style="24" customWidth="1"/>
    <col min="10" max="10" width="4.7109375" style="3" customWidth="1"/>
    <col min="11" max="11" width="6.57421875" style="3" customWidth="1"/>
    <col min="12" max="16384" width="9.140625" style="3" customWidth="1"/>
  </cols>
  <sheetData>
    <row r="1" spans="2:9" ht="14.25" customHeight="1">
      <c r="B1" s="23"/>
      <c r="C1" s="23"/>
      <c r="D1" s="23"/>
      <c r="E1" s="23"/>
      <c r="F1" s="23"/>
      <c r="I1" s="371" t="s">
        <v>159</v>
      </c>
    </row>
    <row r="2" spans="2:9" s="61" customFormat="1" ht="30" customHeight="1">
      <c r="B2" s="1094" t="s">
        <v>171</v>
      </c>
      <c r="C2" s="1094"/>
      <c r="D2" s="1094"/>
      <c r="E2" s="1094"/>
      <c r="F2" s="1094"/>
      <c r="G2" s="1094"/>
      <c r="H2" s="1094"/>
      <c r="I2" s="1094"/>
    </row>
    <row r="3" spans="2:10" ht="15" customHeight="1">
      <c r="B3" s="1095" t="s">
        <v>94</v>
      </c>
      <c r="C3" s="1095"/>
      <c r="D3" s="1095"/>
      <c r="E3" s="1095"/>
      <c r="F3" s="1095"/>
      <c r="G3" s="1095"/>
      <c r="H3" s="1095"/>
      <c r="I3" s="1095"/>
      <c r="J3" s="2"/>
    </row>
    <row r="4" spans="2:10" ht="12.75" customHeight="1">
      <c r="B4" s="1096" t="s">
        <v>253</v>
      </c>
      <c r="C4" s="1097"/>
      <c r="D4" s="1097"/>
      <c r="E4" s="1097"/>
      <c r="F4" s="1097"/>
      <c r="G4" s="1097"/>
      <c r="H4" s="1097"/>
      <c r="I4" s="1097"/>
      <c r="J4" s="2"/>
    </row>
    <row r="5" spans="3:8" ht="15" customHeight="1">
      <c r="C5" s="1099" t="s">
        <v>34</v>
      </c>
      <c r="D5" s="1100"/>
      <c r="E5" s="1100"/>
      <c r="F5" s="1100"/>
      <c r="G5" s="1100"/>
      <c r="H5" s="1101"/>
    </row>
    <row r="6" spans="3:10" ht="33" customHeight="1">
      <c r="C6" s="372" t="s">
        <v>35</v>
      </c>
      <c r="D6" s="373" t="s">
        <v>36</v>
      </c>
      <c r="E6" s="373" t="s">
        <v>37</v>
      </c>
      <c r="F6" s="374" t="s">
        <v>38</v>
      </c>
      <c r="G6" s="1081" t="s">
        <v>78</v>
      </c>
      <c r="H6" s="1083"/>
      <c r="I6" s="23"/>
      <c r="J6" s="2"/>
    </row>
    <row r="7" spans="2:10" ht="15" customHeight="1">
      <c r="B7" s="57" t="s">
        <v>222</v>
      </c>
      <c r="C7" s="699">
        <f>SUM(C10:C37)</f>
        <v>286</v>
      </c>
      <c r="D7" s="656">
        <f>SUM(D10:D37)</f>
        <v>1203</v>
      </c>
      <c r="E7" s="656">
        <f>SUM(E10:E37)</f>
        <v>2060</v>
      </c>
      <c r="F7" s="700">
        <f>SUM(F10:F37)</f>
        <v>604</v>
      </c>
      <c r="G7" s="699">
        <f>SUM(G10:G37)</f>
        <v>4148</v>
      </c>
      <c r="H7" s="376"/>
      <c r="I7" s="57" t="s">
        <v>222</v>
      </c>
      <c r="J7" s="434"/>
    </row>
    <row r="8" spans="2:10" ht="12.75" customHeight="1">
      <c r="B8" s="55" t="s">
        <v>227</v>
      </c>
      <c r="C8" s="660">
        <f>SUM(C10,C13:C14,C16:C19,C25,C28:C29,C31,C35:C37,C21)</f>
        <v>239</v>
      </c>
      <c r="D8" s="661">
        <f>SUM(D10,D13:D14,D16:D19,D25,D28:D29,D31,D35:D37,D21)</f>
        <v>1047</v>
      </c>
      <c r="E8" s="661">
        <f>SUM(E10,E13:E14,E16:E19,E25,E28:E29,E31,E35:E37,E21)</f>
        <v>1893</v>
      </c>
      <c r="F8" s="657">
        <f>SUM(F10,F13:F14,F16:F19,F25,F28:F29,F31,F35:F37,F21)</f>
        <v>594</v>
      </c>
      <c r="G8" s="660">
        <f>SUM(G10,G13:G14,G16:G19,G25,G28:G29,G31,G35:G37,G21)</f>
        <v>3773</v>
      </c>
      <c r="H8" s="378"/>
      <c r="I8" s="55" t="s">
        <v>227</v>
      </c>
      <c r="J8" s="36"/>
    </row>
    <row r="9" spans="2:10" ht="12.75" customHeight="1">
      <c r="B9" s="56" t="s">
        <v>231</v>
      </c>
      <c r="C9" s="663">
        <f>C7-C8</f>
        <v>47</v>
      </c>
      <c r="D9" s="663">
        <f>D7-D8</f>
        <v>156</v>
      </c>
      <c r="E9" s="663">
        <f>E7-E8</f>
        <v>167</v>
      </c>
      <c r="F9" s="701">
        <f>F7-F8</f>
        <v>10</v>
      </c>
      <c r="G9" s="662">
        <f>G7-G8</f>
        <v>375</v>
      </c>
      <c r="H9" s="379"/>
      <c r="I9" s="56" t="s">
        <v>231</v>
      </c>
      <c r="J9" s="36"/>
    </row>
    <row r="10" spans="1:10" ht="12.75" customHeight="1">
      <c r="A10" s="8"/>
      <c r="B10" s="9" t="s">
        <v>62</v>
      </c>
      <c r="C10" s="758">
        <v>1</v>
      </c>
      <c r="D10" s="567">
        <v>39</v>
      </c>
      <c r="E10" s="567">
        <v>26</v>
      </c>
      <c r="F10" s="759">
        <v>11</v>
      </c>
      <c r="G10" s="758">
        <f>SUM(C10:F10)</f>
        <v>77</v>
      </c>
      <c r="H10" s="381"/>
      <c r="I10" s="9" t="s">
        <v>62</v>
      </c>
      <c r="J10" s="19"/>
    </row>
    <row r="11" spans="1:10" ht="12.75" customHeight="1">
      <c r="A11" s="8"/>
      <c r="B11" s="55" t="s">
        <v>45</v>
      </c>
      <c r="C11" s="703">
        <v>6</v>
      </c>
      <c r="D11" s="704">
        <v>13</v>
      </c>
      <c r="E11" s="704">
        <v>12</v>
      </c>
      <c r="F11" s="760">
        <v>1</v>
      </c>
      <c r="G11" s="703">
        <f aca="true" t="shared" si="0" ref="G11:G37">SUM(C11:F11)</f>
        <v>32</v>
      </c>
      <c r="H11" s="382"/>
      <c r="I11" s="55" t="s">
        <v>45</v>
      </c>
      <c r="J11" s="19"/>
    </row>
    <row r="12" spans="1:10" ht="12.75" customHeight="1">
      <c r="A12" s="8"/>
      <c r="B12" s="10" t="s">
        <v>47</v>
      </c>
      <c r="C12" s="702">
        <v>5</v>
      </c>
      <c r="D12" s="554">
        <v>13</v>
      </c>
      <c r="E12" s="554">
        <v>11</v>
      </c>
      <c r="F12" s="562">
        <v>1</v>
      </c>
      <c r="G12" s="702">
        <f t="shared" si="0"/>
        <v>30</v>
      </c>
      <c r="H12" s="383"/>
      <c r="I12" s="10" t="s">
        <v>47</v>
      </c>
      <c r="J12" s="19"/>
    </row>
    <row r="13" spans="1:10" ht="12.75" customHeight="1">
      <c r="A13" s="8"/>
      <c r="B13" s="55" t="s">
        <v>58</v>
      </c>
      <c r="C13" s="703">
        <v>20</v>
      </c>
      <c r="D13" s="704">
        <v>35</v>
      </c>
      <c r="E13" s="704">
        <v>40</v>
      </c>
      <c r="F13" s="760">
        <v>5</v>
      </c>
      <c r="G13" s="703">
        <f t="shared" si="0"/>
        <v>100</v>
      </c>
      <c r="H13" s="382"/>
      <c r="I13" s="55" t="s">
        <v>58</v>
      </c>
      <c r="J13" s="19"/>
    </row>
    <row r="14" spans="1:10" ht="12.75" customHeight="1">
      <c r="A14" s="8"/>
      <c r="B14" s="10" t="s">
        <v>63</v>
      </c>
      <c r="C14" s="702">
        <v>18</v>
      </c>
      <c r="D14" s="554">
        <v>177</v>
      </c>
      <c r="E14" s="554">
        <v>318</v>
      </c>
      <c r="F14" s="562">
        <v>120</v>
      </c>
      <c r="G14" s="702">
        <f t="shared" si="0"/>
        <v>633</v>
      </c>
      <c r="H14" s="383"/>
      <c r="I14" s="10" t="s">
        <v>63</v>
      </c>
      <c r="J14" s="19"/>
    </row>
    <row r="15" spans="1:10" ht="12.75" customHeight="1">
      <c r="A15" s="8"/>
      <c r="B15" s="55" t="s">
        <v>48</v>
      </c>
      <c r="C15" s="703"/>
      <c r="D15" s="704">
        <v>4</v>
      </c>
      <c r="E15" s="704">
        <v>2</v>
      </c>
      <c r="F15" s="760"/>
      <c r="G15" s="703">
        <f t="shared" si="0"/>
        <v>6</v>
      </c>
      <c r="H15" s="382"/>
      <c r="I15" s="55" t="s">
        <v>48</v>
      </c>
      <c r="J15" s="19"/>
    </row>
    <row r="16" spans="1:10" ht="12.75" customHeight="1">
      <c r="A16" s="8"/>
      <c r="B16" s="10" t="s">
        <v>66</v>
      </c>
      <c r="C16" s="702">
        <v>3</v>
      </c>
      <c r="D16" s="554">
        <v>43</v>
      </c>
      <c r="E16" s="554">
        <v>405</v>
      </c>
      <c r="F16" s="562">
        <v>10</v>
      </c>
      <c r="G16" s="702">
        <f t="shared" si="0"/>
        <v>461</v>
      </c>
      <c r="H16" s="383"/>
      <c r="I16" s="10" t="s">
        <v>66</v>
      </c>
      <c r="J16" s="19"/>
    </row>
    <row r="17" spans="1:10" ht="12.75" customHeight="1">
      <c r="A17" s="8"/>
      <c r="B17" s="55" t="s">
        <v>59</v>
      </c>
      <c r="C17" s="703">
        <v>13</v>
      </c>
      <c r="D17" s="704">
        <v>16</v>
      </c>
      <c r="E17" s="704">
        <v>46</v>
      </c>
      <c r="F17" s="760"/>
      <c r="G17" s="703">
        <f t="shared" si="0"/>
        <v>75</v>
      </c>
      <c r="H17" s="382"/>
      <c r="I17" s="55" t="s">
        <v>59</v>
      </c>
      <c r="J17" s="19"/>
    </row>
    <row r="18" spans="1:10" ht="12.75" customHeight="1">
      <c r="A18" s="8"/>
      <c r="B18" s="10" t="s">
        <v>64</v>
      </c>
      <c r="C18" s="702">
        <v>8</v>
      </c>
      <c r="D18" s="554">
        <v>118</v>
      </c>
      <c r="E18" s="554">
        <v>174</v>
      </c>
      <c r="F18" s="562">
        <v>63</v>
      </c>
      <c r="G18" s="702">
        <f t="shared" si="0"/>
        <v>363</v>
      </c>
      <c r="H18" s="383"/>
      <c r="I18" s="10" t="s">
        <v>64</v>
      </c>
      <c r="J18" s="19"/>
    </row>
    <row r="19" spans="1:10" ht="12.75" customHeight="1">
      <c r="A19" s="8"/>
      <c r="B19" s="55" t="s">
        <v>65</v>
      </c>
      <c r="C19" s="703">
        <v>51</v>
      </c>
      <c r="D19" s="704">
        <v>133</v>
      </c>
      <c r="E19" s="704">
        <v>111</v>
      </c>
      <c r="F19" s="760">
        <v>99</v>
      </c>
      <c r="G19" s="703">
        <f t="shared" si="0"/>
        <v>394</v>
      </c>
      <c r="H19" s="382"/>
      <c r="I19" s="55" t="s">
        <v>65</v>
      </c>
      <c r="J19" s="19"/>
    </row>
    <row r="20" spans="1:10" ht="12.75" customHeight="1">
      <c r="A20" s="8"/>
      <c r="B20" s="10" t="s">
        <v>76</v>
      </c>
      <c r="C20" s="702"/>
      <c r="D20" s="554">
        <v>11</v>
      </c>
      <c r="E20" s="554">
        <v>3</v>
      </c>
      <c r="F20" s="562"/>
      <c r="G20" s="702">
        <f t="shared" si="0"/>
        <v>14</v>
      </c>
      <c r="H20" s="383"/>
      <c r="I20" s="10" t="s">
        <v>76</v>
      </c>
      <c r="J20" s="19"/>
    </row>
    <row r="21" spans="1:10" ht="12.75" customHeight="1">
      <c r="A21" s="8"/>
      <c r="B21" s="184" t="s">
        <v>67</v>
      </c>
      <c r="C21" s="706"/>
      <c r="D21" s="555">
        <v>70</v>
      </c>
      <c r="E21" s="555">
        <v>74</v>
      </c>
      <c r="F21" s="561">
        <v>32</v>
      </c>
      <c r="G21" s="706">
        <f t="shared" si="0"/>
        <v>176</v>
      </c>
      <c r="H21" s="478"/>
      <c r="I21" s="184" t="s">
        <v>67</v>
      </c>
      <c r="J21" s="19"/>
    </row>
    <row r="22" spans="1:10" ht="12.75" customHeight="1">
      <c r="A22" s="8"/>
      <c r="B22" s="10" t="s">
        <v>46</v>
      </c>
      <c r="C22" s="702">
        <v>2</v>
      </c>
      <c r="D22" s="554">
        <v>2</v>
      </c>
      <c r="E22" s="554">
        <v>1</v>
      </c>
      <c r="F22" s="562"/>
      <c r="G22" s="702"/>
      <c r="H22" s="383"/>
      <c r="I22" s="10" t="s">
        <v>46</v>
      </c>
      <c r="J22" s="19"/>
    </row>
    <row r="23" spans="1:10" ht="12.75" customHeight="1">
      <c r="A23" s="8"/>
      <c r="B23" s="184" t="s">
        <v>50</v>
      </c>
      <c r="C23" s="706">
        <v>2</v>
      </c>
      <c r="D23" s="555">
        <v>28</v>
      </c>
      <c r="E23" s="555">
        <v>9</v>
      </c>
      <c r="F23" s="561"/>
      <c r="G23" s="706">
        <f t="shared" si="0"/>
        <v>39</v>
      </c>
      <c r="H23" s="478"/>
      <c r="I23" s="184" t="s">
        <v>50</v>
      </c>
      <c r="J23" s="19"/>
    </row>
    <row r="24" spans="1:10" ht="12.75" customHeight="1">
      <c r="A24" s="8"/>
      <c r="B24" s="10" t="s">
        <v>51</v>
      </c>
      <c r="C24" s="702">
        <v>4</v>
      </c>
      <c r="D24" s="554">
        <v>7</v>
      </c>
      <c r="E24" s="554">
        <v>6</v>
      </c>
      <c r="F24" s="562"/>
      <c r="G24" s="702">
        <f t="shared" si="0"/>
        <v>17</v>
      </c>
      <c r="H24" s="383"/>
      <c r="I24" s="10" t="s">
        <v>51</v>
      </c>
      <c r="J24" s="19"/>
    </row>
    <row r="25" spans="1:10" ht="12.75" customHeight="1">
      <c r="A25" s="8"/>
      <c r="B25" s="184" t="s">
        <v>68</v>
      </c>
      <c r="C25" s="706"/>
      <c r="D25" s="555">
        <v>12</v>
      </c>
      <c r="E25" s="555">
        <v>4</v>
      </c>
      <c r="F25" s="561"/>
      <c r="G25" s="706">
        <f t="shared" si="0"/>
        <v>16</v>
      </c>
      <c r="H25" s="478"/>
      <c r="I25" s="184" t="s">
        <v>68</v>
      </c>
      <c r="J25" s="19"/>
    </row>
    <row r="26" spans="1:10" ht="12.75" customHeight="1">
      <c r="A26" s="8"/>
      <c r="B26" s="10" t="s">
        <v>49</v>
      </c>
      <c r="C26" s="702">
        <v>2</v>
      </c>
      <c r="D26" s="554"/>
      <c r="E26" s="554">
        <v>75</v>
      </c>
      <c r="F26" s="562"/>
      <c r="G26" s="702">
        <f t="shared" si="0"/>
        <v>77</v>
      </c>
      <c r="H26" s="383"/>
      <c r="I26" s="10" t="s">
        <v>49</v>
      </c>
      <c r="J26" s="19"/>
    </row>
    <row r="27" spans="1:10" ht="12.75" customHeight="1">
      <c r="A27" s="8"/>
      <c r="B27" s="184" t="s">
        <v>52</v>
      </c>
      <c r="C27" s="706">
        <v>5</v>
      </c>
      <c r="D27" s="555">
        <v>2</v>
      </c>
      <c r="E27" s="555">
        <v>5</v>
      </c>
      <c r="F27" s="561">
        <v>1</v>
      </c>
      <c r="G27" s="706">
        <f t="shared" si="0"/>
        <v>13</v>
      </c>
      <c r="H27" s="478"/>
      <c r="I27" s="184" t="s">
        <v>52</v>
      </c>
      <c r="J27" s="19"/>
    </row>
    <row r="28" spans="1:10" ht="12.75" customHeight="1">
      <c r="A28" s="8"/>
      <c r="B28" s="10" t="s">
        <v>60</v>
      </c>
      <c r="C28" s="702">
        <v>8</v>
      </c>
      <c r="D28" s="554">
        <v>71</v>
      </c>
      <c r="E28" s="554">
        <v>71</v>
      </c>
      <c r="F28" s="562">
        <v>61</v>
      </c>
      <c r="G28" s="702">
        <f t="shared" si="0"/>
        <v>211</v>
      </c>
      <c r="H28" s="383"/>
      <c r="I28" s="10" t="s">
        <v>60</v>
      </c>
      <c r="J28" s="19"/>
    </row>
    <row r="29" spans="1:10" ht="12.75" customHeight="1">
      <c r="A29" s="8"/>
      <c r="B29" s="184" t="s">
        <v>69</v>
      </c>
      <c r="C29" s="706">
        <v>1</v>
      </c>
      <c r="D29" s="555">
        <v>46</v>
      </c>
      <c r="E29" s="555">
        <v>47</v>
      </c>
      <c r="F29" s="561">
        <v>5</v>
      </c>
      <c r="G29" s="706">
        <f t="shared" si="0"/>
        <v>99</v>
      </c>
      <c r="H29" s="478"/>
      <c r="I29" s="184" t="s">
        <v>69</v>
      </c>
      <c r="J29" s="19"/>
    </row>
    <row r="30" spans="1:10" ht="12.75" customHeight="1">
      <c r="A30" s="8"/>
      <c r="B30" s="10" t="s">
        <v>53</v>
      </c>
      <c r="C30" s="702">
        <v>6</v>
      </c>
      <c r="D30" s="554">
        <v>36</v>
      </c>
      <c r="E30" s="554">
        <v>20</v>
      </c>
      <c r="F30" s="562">
        <v>7</v>
      </c>
      <c r="G30" s="702">
        <f t="shared" si="0"/>
        <v>69</v>
      </c>
      <c r="H30" s="383"/>
      <c r="I30" s="10" t="s">
        <v>53</v>
      </c>
      <c r="J30" s="19"/>
    </row>
    <row r="31" spans="1:10" ht="12.75" customHeight="1">
      <c r="A31" s="8"/>
      <c r="B31" s="184" t="s">
        <v>70</v>
      </c>
      <c r="C31" s="706">
        <v>8</v>
      </c>
      <c r="D31" s="555">
        <v>42</v>
      </c>
      <c r="E31" s="555">
        <v>34</v>
      </c>
      <c r="F31" s="561">
        <v>27</v>
      </c>
      <c r="G31" s="706">
        <f t="shared" si="0"/>
        <v>111</v>
      </c>
      <c r="H31" s="478"/>
      <c r="I31" s="184" t="s">
        <v>70</v>
      </c>
      <c r="J31" s="19"/>
    </row>
    <row r="32" spans="1:10" ht="12.75" customHeight="1">
      <c r="A32" s="8"/>
      <c r="B32" s="10" t="s">
        <v>54</v>
      </c>
      <c r="C32" s="702">
        <v>7</v>
      </c>
      <c r="D32" s="554">
        <v>27</v>
      </c>
      <c r="E32" s="554">
        <v>15</v>
      </c>
      <c r="F32" s="562"/>
      <c r="G32" s="702">
        <f t="shared" si="0"/>
        <v>49</v>
      </c>
      <c r="H32" s="383"/>
      <c r="I32" s="10" t="s">
        <v>54</v>
      </c>
      <c r="J32" s="19"/>
    </row>
    <row r="33" spans="1:10" ht="12.75" customHeight="1">
      <c r="A33" s="8"/>
      <c r="B33" s="184" t="s">
        <v>56</v>
      </c>
      <c r="C33" s="706">
        <v>8</v>
      </c>
      <c r="D33" s="555">
        <v>13</v>
      </c>
      <c r="E33" s="555"/>
      <c r="F33" s="561"/>
      <c r="G33" s="706">
        <f t="shared" si="0"/>
        <v>21</v>
      </c>
      <c r="H33" s="478"/>
      <c r="I33" s="184" t="s">
        <v>56</v>
      </c>
      <c r="J33" s="19"/>
    </row>
    <row r="34" spans="1:10" ht="12.75" customHeight="1">
      <c r="A34" s="8"/>
      <c r="B34" s="10" t="s">
        <v>55</v>
      </c>
      <c r="C34" s="702"/>
      <c r="D34" s="554"/>
      <c r="E34" s="554">
        <v>8</v>
      </c>
      <c r="F34" s="562"/>
      <c r="G34" s="702">
        <f t="shared" si="0"/>
        <v>8</v>
      </c>
      <c r="H34" s="383"/>
      <c r="I34" s="10" t="s">
        <v>55</v>
      </c>
      <c r="J34" s="19"/>
    </row>
    <row r="35" spans="1:10" ht="12.75" customHeight="1">
      <c r="A35" s="8"/>
      <c r="B35" s="184" t="s">
        <v>71</v>
      </c>
      <c r="C35" s="706"/>
      <c r="D35" s="555">
        <v>33</v>
      </c>
      <c r="E35" s="555">
        <v>23</v>
      </c>
      <c r="F35" s="561">
        <v>17</v>
      </c>
      <c r="G35" s="706">
        <f t="shared" si="0"/>
        <v>73</v>
      </c>
      <c r="H35" s="478"/>
      <c r="I35" s="184" t="s">
        <v>71</v>
      </c>
      <c r="J35" s="19"/>
    </row>
    <row r="36" spans="1:10" ht="12.75" customHeight="1">
      <c r="A36" s="8"/>
      <c r="B36" s="10" t="s">
        <v>72</v>
      </c>
      <c r="C36" s="702">
        <v>22</v>
      </c>
      <c r="D36" s="554">
        <v>45</v>
      </c>
      <c r="E36" s="554">
        <v>10</v>
      </c>
      <c r="F36" s="562">
        <v>2</v>
      </c>
      <c r="G36" s="702">
        <f t="shared" si="0"/>
        <v>79</v>
      </c>
      <c r="H36" s="383"/>
      <c r="I36" s="10" t="s">
        <v>72</v>
      </c>
      <c r="J36" s="19"/>
    </row>
    <row r="37" spans="1:10" ht="12.75" customHeight="1">
      <c r="A37" s="8"/>
      <c r="B37" s="186" t="s">
        <v>61</v>
      </c>
      <c r="C37" s="707">
        <v>86</v>
      </c>
      <c r="D37" s="565">
        <v>167</v>
      </c>
      <c r="E37" s="565">
        <v>510</v>
      </c>
      <c r="F37" s="566">
        <v>142</v>
      </c>
      <c r="G37" s="707">
        <f t="shared" si="0"/>
        <v>905</v>
      </c>
      <c r="H37" s="480"/>
      <c r="I37" s="186" t="s">
        <v>61</v>
      </c>
      <c r="J37" s="19"/>
    </row>
    <row r="38" spans="1:10" s="903" customFormat="1" ht="12.75" customHeight="1">
      <c r="A38" s="8"/>
      <c r="B38" s="497" t="s">
        <v>221</v>
      </c>
      <c r="C38" s="702"/>
      <c r="D38" s="554"/>
      <c r="E38" s="554"/>
      <c r="F38" s="562"/>
      <c r="G38" s="702"/>
      <c r="H38" s="383"/>
      <c r="I38" s="497" t="s">
        <v>221</v>
      </c>
      <c r="J38" s="19"/>
    </row>
    <row r="39" spans="1:10" ht="12.75" customHeight="1">
      <c r="A39" s="8"/>
      <c r="B39" s="184" t="s">
        <v>213</v>
      </c>
      <c r="C39" s="706"/>
      <c r="D39" s="555"/>
      <c r="E39" s="555"/>
      <c r="F39" s="561"/>
      <c r="G39" s="706"/>
      <c r="H39" s="478"/>
      <c r="I39" s="184" t="s">
        <v>213</v>
      </c>
      <c r="J39" s="19"/>
    </row>
    <row r="40" spans="1:10" ht="12.75" customHeight="1">
      <c r="A40" s="8"/>
      <c r="B40" s="497" t="s">
        <v>1</v>
      </c>
      <c r="C40" s="702"/>
      <c r="D40" s="554"/>
      <c r="E40" s="554"/>
      <c r="F40" s="562"/>
      <c r="G40" s="702"/>
      <c r="H40" s="383"/>
      <c r="I40" s="497" t="s">
        <v>1</v>
      </c>
      <c r="J40" s="19"/>
    </row>
    <row r="41" spans="1:10" ht="12.75" customHeight="1">
      <c r="A41" s="8"/>
      <c r="B41" s="184" t="s">
        <v>212</v>
      </c>
      <c r="C41" s="706"/>
      <c r="D41" s="555"/>
      <c r="E41" s="555"/>
      <c r="F41" s="561"/>
      <c r="G41" s="706"/>
      <c r="H41" s="478"/>
      <c r="I41" s="184" t="s">
        <v>212</v>
      </c>
      <c r="J41" s="19"/>
    </row>
    <row r="42" spans="1:10" ht="12.75" customHeight="1">
      <c r="A42" s="8"/>
      <c r="B42" s="498" t="s">
        <v>57</v>
      </c>
      <c r="C42" s="796"/>
      <c r="D42" s="568">
        <v>26</v>
      </c>
      <c r="E42" s="568">
        <v>377</v>
      </c>
      <c r="F42" s="569">
        <v>69</v>
      </c>
      <c r="G42" s="796">
        <f>SUM(C42:F42)</f>
        <v>472</v>
      </c>
      <c r="H42" s="950"/>
      <c r="I42" s="498" t="s">
        <v>57</v>
      </c>
      <c r="J42" s="19"/>
    </row>
    <row r="43" spans="1:10" ht="12.75" customHeight="1">
      <c r="A43" s="8"/>
      <c r="B43" s="182" t="s">
        <v>43</v>
      </c>
      <c r="C43" s="706">
        <v>9</v>
      </c>
      <c r="D43" s="555">
        <v>3</v>
      </c>
      <c r="E43" s="555">
        <v>35</v>
      </c>
      <c r="F43" s="561">
        <v>5</v>
      </c>
      <c r="G43" s="706">
        <f>SUM(C43:F43)</f>
        <v>52</v>
      </c>
      <c r="H43" s="478"/>
      <c r="I43" s="182" t="s">
        <v>43</v>
      </c>
      <c r="J43" s="19"/>
    </row>
    <row r="44" spans="1:10" ht="12.75" customHeight="1">
      <c r="A44" s="8"/>
      <c r="B44" s="497" t="s">
        <v>73</v>
      </c>
      <c r="C44" s="702">
        <v>31</v>
      </c>
      <c r="D44" s="554">
        <v>50</v>
      </c>
      <c r="E44" s="554">
        <v>142</v>
      </c>
      <c r="F44" s="562">
        <v>20</v>
      </c>
      <c r="G44" s="702">
        <f>SUM(C44:F44)</f>
        <v>243</v>
      </c>
      <c r="H44" s="383"/>
      <c r="I44" s="497" t="s">
        <v>73</v>
      </c>
      <c r="J44" s="19"/>
    </row>
    <row r="45" spans="1:10" ht="12.75" customHeight="1">
      <c r="A45" s="8"/>
      <c r="B45" s="184" t="s">
        <v>44</v>
      </c>
      <c r="C45" s="706">
        <v>26</v>
      </c>
      <c r="D45" s="555">
        <v>39</v>
      </c>
      <c r="E45" s="555">
        <v>93</v>
      </c>
      <c r="F45" s="561">
        <v>8</v>
      </c>
      <c r="G45" s="706">
        <f>SUM(C45:F45)</f>
        <v>166</v>
      </c>
      <c r="H45" s="478"/>
      <c r="I45" s="184" t="s">
        <v>44</v>
      </c>
      <c r="J45" s="19"/>
    </row>
    <row r="46" spans="2:11" ht="15.75" customHeight="1">
      <c r="B46" s="498" t="s">
        <v>83</v>
      </c>
      <c r="C46" s="951"/>
      <c r="D46" s="952"/>
      <c r="E46" s="952"/>
      <c r="F46" s="953"/>
      <c r="G46" s="796"/>
      <c r="H46" s="950"/>
      <c r="I46" s="498" t="s">
        <v>83</v>
      </c>
      <c r="J46" s="15"/>
      <c r="K46" s="15"/>
    </row>
    <row r="47" spans="2:11" ht="11.25" customHeight="1">
      <c r="B47" s="1102" t="s">
        <v>190</v>
      </c>
      <c r="C47" s="1102"/>
      <c r="D47" s="1102"/>
      <c r="E47" s="1102"/>
      <c r="F47" s="1102"/>
      <c r="G47" s="1102"/>
      <c r="H47" s="1102"/>
      <c r="I47" s="1102"/>
      <c r="J47" s="12"/>
      <c r="K47" s="12"/>
    </row>
    <row r="48" spans="2:3" ht="12.75" customHeight="1">
      <c r="B48" s="1103" t="s">
        <v>81</v>
      </c>
      <c r="C48" s="1103"/>
    </row>
    <row r="49" spans="2:8" ht="12.75" customHeight="1">
      <c r="B49" s="1098" t="s">
        <v>79</v>
      </c>
      <c r="C49" s="1098"/>
      <c r="D49" s="1098"/>
      <c r="E49" s="1098"/>
      <c r="F49" s="1098"/>
      <c r="G49" s="1098"/>
      <c r="H49" s="384"/>
    </row>
    <row r="50" spans="2:8" ht="11.25">
      <c r="B50" s="385" t="s">
        <v>113</v>
      </c>
      <c r="C50" s="385"/>
      <c r="D50" s="385"/>
      <c r="E50" s="385"/>
      <c r="F50" s="385"/>
      <c r="G50" s="385"/>
      <c r="H50" s="385"/>
    </row>
  </sheetData>
  <sheetProtection/>
  <mergeCells count="8">
    <mergeCell ref="B2:I2"/>
    <mergeCell ref="B3:I3"/>
    <mergeCell ref="B4:I4"/>
    <mergeCell ref="B49:G49"/>
    <mergeCell ref="C5:H5"/>
    <mergeCell ref="G6:H6"/>
    <mergeCell ref="B47:I47"/>
    <mergeCell ref="B48:C48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44"/>
  <dimension ref="A1:W52"/>
  <sheetViews>
    <sheetView zoomScalePageLayoutView="0" workbookViewId="0" topLeftCell="A25">
      <selection activeCell="O25" sqref="O25"/>
    </sheetView>
  </sheetViews>
  <sheetFormatPr defaultColWidth="9.140625" defaultRowHeight="12.75"/>
  <cols>
    <col min="1" max="1" width="3.7109375" style="3" customWidth="1"/>
    <col min="2" max="2" width="5.421875" style="3" customWidth="1"/>
    <col min="3" max="7" width="10.7109375" style="3" customWidth="1"/>
    <col min="8" max="8" width="1.7109375" style="3" customWidth="1"/>
    <col min="9" max="9" width="5.140625" style="3" customWidth="1"/>
    <col min="10" max="11" width="4.7109375" style="3" customWidth="1"/>
    <col min="12" max="16384" width="9.140625" style="3" customWidth="1"/>
  </cols>
  <sheetData>
    <row r="1" spans="2:9" ht="15.75">
      <c r="B1" s="2"/>
      <c r="C1" s="2"/>
      <c r="D1" s="2"/>
      <c r="E1" s="2"/>
      <c r="F1" s="2"/>
      <c r="I1" s="17" t="s">
        <v>161</v>
      </c>
    </row>
    <row r="2" spans="2:9" s="61" customFormat="1" ht="15.75">
      <c r="B2" s="1041" t="s">
        <v>172</v>
      </c>
      <c r="C2" s="1041"/>
      <c r="D2" s="1041"/>
      <c r="E2" s="1041"/>
      <c r="F2" s="1041"/>
      <c r="G2" s="1041"/>
      <c r="H2" s="1041"/>
      <c r="I2" s="1041"/>
    </row>
    <row r="3" spans="2:11" s="90" customFormat="1" ht="12.75">
      <c r="B3" s="1042" t="s">
        <v>94</v>
      </c>
      <c r="C3" s="1042"/>
      <c r="D3" s="1042"/>
      <c r="E3" s="1042"/>
      <c r="F3" s="1042"/>
      <c r="G3" s="1042"/>
      <c r="H3" s="1042"/>
      <c r="I3" s="1042"/>
      <c r="K3" s="93"/>
    </row>
    <row r="4" spans="2:9" ht="12">
      <c r="B4" s="1109" t="s">
        <v>253</v>
      </c>
      <c r="C4" s="1110"/>
      <c r="D4" s="1110"/>
      <c r="E4" s="1110"/>
      <c r="F4" s="1110"/>
      <c r="G4" s="1110"/>
      <c r="H4" s="1110"/>
      <c r="I4" s="1110"/>
    </row>
    <row r="5" spans="2:9" ht="33.75">
      <c r="B5" s="24"/>
      <c r="C5" s="1106" t="s">
        <v>39</v>
      </c>
      <c r="D5" s="1107"/>
      <c r="E5" s="386" t="s">
        <v>40</v>
      </c>
      <c r="F5" s="1105" t="s">
        <v>41</v>
      </c>
      <c r="G5" s="1106" t="s">
        <v>42</v>
      </c>
      <c r="H5" s="1107"/>
      <c r="I5" s="24"/>
    </row>
    <row r="6" spans="2:9" ht="22.5">
      <c r="B6" s="24"/>
      <c r="C6" s="108" t="s">
        <v>236</v>
      </c>
      <c r="D6" s="106" t="s">
        <v>237</v>
      </c>
      <c r="E6" s="107" t="s">
        <v>106</v>
      </c>
      <c r="F6" s="1074"/>
      <c r="G6" s="1111"/>
      <c r="H6" s="1112"/>
      <c r="I6" s="23"/>
    </row>
    <row r="7" spans="2:9" ht="11.25">
      <c r="B7" s="24"/>
      <c r="C7" s="102" t="s">
        <v>107</v>
      </c>
      <c r="D7" s="103" t="s">
        <v>107</v>
      </c>
      <c r="E7" s="104" t="s">
        <v>108</v>
      </c>
      <c r="F7" s="331"/>
      <c r="G7" s="1113"/>
      <c r="H7" s="1114"/>
      <c r="I7" s="23"/>
    </row>
    <row r="8" spans="2:9" ht="13.5" customHeight="1">
      <c r="B8" s="57" t="s">
        <v>222</v>
      </c>
      <c r="C8" s="656">
        <f>SUM(C11:C38)</f>
        <v>156</v>
      </c>
      <c r="D8" s="700">
        <f>SUM(D11:D38)</f>
        <v>212</v>
      </c>
      <c r="E8" s="761">
        <f>SUM(E11:E38)</f>
        <v>30</v>
      </c>
      <c r="F8" s="700">
        <f>SUM(F11:F38)</f>
        <v>183</v>
      </c>
      <c r="G8" s="699">
        <f>SUM(G11:G38)</f>
        <v>2037</v>
      </c>
      <c r="H8" s="375"/>
      <c r="I8" s="57" t="s">
        <v>222</v>
      </c>
    </row>
    <row r="9" spans="2:10" ht="11.25">
      <c r="B9" s="55" t="s">
        <v>227</v>
      </c>
      <c r="C9" s="661">
        <f>SUM(C11,C14:C15,C17:C20,C26,C29:C30,C32,C36:C38,C22)</f>
        <v>118</v>
      </c>
      <c r="D9" s="657">
        <f>SUM(D11,D14:D15,D17:D20,D26,D29:D30,D32,D36:D38,D22)</f>
        <v>199</v>
      </c>
      <c r="E9" s="762">
        <f>SUM(E11,E14:E15,E17:E20,E26,E29:E30,E32,E36:E38,E22)</f>
        <v>26</v>
      </c>
      <c r="F9" s="657">
        <f>SUM(F11,F14:F15,F17:F20,F26,F29:F30,F32,F36:F38,F22)</f>
        <v>158</v>
      </c>
      <c r="G9" s="660">
        <f>SUM(G11,G14:G15,G17:G20,G26,G29:G30,G32,G36:G38,G22)</f>
        <v>1719</v>
      </c>
      <c r="H9" s="377"/>
      <c r="I9" s="55" t="s">
        <v>227</v>
      </c>
      <c r="J9" s="36"/>
    </row>
    <row r="10" spans="2:10" ht="11.25">
      <c r="B10" s="56" t="s">
        <v>231</v>
      </c>
      <c r="C10" s="662">
        <f>C8-C9</f>
        <v>38</v>
      </c>
      <c r="D10" s="701">
        <f>D8-D9</f>
        <v>13</v>
      </c>
      <c r="E10" s="701">
        <f>E8-E9</f>
        <v>4</v>
      </c>
      <c r="F10" s="701">
        <f>F8-F9</f>
        <v>25</v>
      </c>
      <c r="G10" s="662">
        <f>G8-G9</f>
        <v>318</v>
      </c>
      <c r="H10" s="136"/>
      <c r="I10" s="56" t="s">
        <v>231</v>
      </c>
      <c r="J10" s="36"/>
    </row>
    <row r="11" spans="1:9" ht="11.25">
      <c r="A11" s="8"/>
      <c r="B11" s="9" t="s">
        <v>62</v>
      </c>
      <c r="C11" s="567"/>
      <c r="D11" s="759">
        <v>25</v>
      </c>
      <c r="E11" s="763"/>
      <c r="F11" s="763"/>
      <c r="G11" s="758">
        <v>59</v>
      </c>
      <c r="H11" s="380"/>
      <c r="I11" s="9" t="s">
        <v>62</v>
      </c>
    </row>
    <row r="12" spans="1:10" ht="11.25">
      <c r="A12" s="8"/>
      <c r="B12" s="55" t="s">
        <v>45</v>
      </c>
      <c r="C12" s="703">
        <v>6</v>
      </c>
      <c r="D12" s="760">
        <v>5</v>
      </c>
      <c r="E12" s="764"/>
      <c r="F12" s="764">
        <v>2</v>
      </c>
      <c r="G12" s="703">
        <v>13</v>
      </c>
      <c r="H12" s="101"/>
      <c r="I12" s="55" t="s">
        <v>45</v>
      </c>
      <c r="J12" s="2"/>
    </row>
    <row r="13" spans="1:9" ht="11.25">
      <c r="A13" s="8"/>
      <c r="B13" s="10" t="s">
        <v>47</v>
      </c>
      <c r="C13" s="554"/>
      <c r="D13" s="562"/>
      <c r="E13" s="188"/>
      <c r="F13" s="188">
        <v>7</v>
      </c>
      <c r="G13" s="702">
        <v>47</v>
      </c>
      <c r="H13" s="137"/>
      <c r="I13" s="10" t="s">
        <v>47</v>
      </c>
    </row>
    <row r="14" spans="1:9" ht="11.25">
      <c r="A14" s="8"/>
      <c r="B14" s="55" t="s">
        <v>58</v>
      </c>
      <c r="C14" s="704">
        <v>2</v>
      </c>
      <c r="D14" s="760">
        <v>16</v>
      </c>
      <c r="E14" s="764">
        <v>5</v>
      </c>
      <c r="F14" s="764">
        <v>1</v>
      </c>
      <c r="G14" s="703">
        <v>66</v>
      </c>
      <c r="H14" s="101"/>
      <c r="I14" s="55" t="s">
        <v>58</v>
      </c>
    </row>
    <row r="15" spans="1:9" ht="11.25">
      <c r="A15" s="8"/>
      <c r="B15" s="10" t="s">
        <v>63</v>
      </c>
      <c r="C15" s="554">
        <v>9</v>
      </c>
      <c r="D15" s="562">
        <v>59</v>
      </c>
      <c r="E15" s="188"/>
      <c r="F15" s="188">
        <v>34</v>
      </c>
      <c r="G15" s="702">
        <v>406</v>
      </c>
      <c r="H15" s="137"/>
      <c r="I15" s="10" t="s">
        <v>63</v>
      </c>
    </row>
    <row r="16" spans="1:9" ht="11.25">
      <c r="A16" s="8"/>
      <c r="B16" s="55" t="s">
        <v>48</v>
      </c>
      <c r="C16" s="704">
        <v>9</v>
      </c>
      <c r="D16" s="760"/>
      <c r="E16" s="764"/>
      <c r="F16" s="764">
        <v>1</v>
      </c>
      <c r="G16" s="703">
        <v>7</v>
      </c>
      <c r="H16" s="101"/>
      <c r="I16" s="55" t="s">
        <v>48</v>
      </c>
    </row>
    <row r="17" spans="1:9" ht="11.25">
      <c r="A17" s="8"/>
      <c r="B17" s="10" t="s">
        <v>66</v>
      </c>
      <c r="C17" s="554">
        <v>23</v>
      </c>
      <c r="D17" s="562">
        <v>4</v>
      </c>
      <c r="E17" s="188"/>
      <c r="F17" s="188"/>
      <c r="G17" s="702">
        <v>32</v>
      </c>
      <c r="H17" s="137"/>
      <c r="I17" s="10" t="s">
        <v>66</v>
      </c>
    </row>
    <row r="18" spans="1:9" ht="11.25">
      <c r="A18" s="8"/>
      <c r="B18" s="55" t="s">
        <v>59</v>
      </c>
      <c r="C18" s="704">
        <v>5</v>
      </c>
      <c r="D18" s="760"/>
      <c r="E18" s="764"/>
      <c r="F18" s="764">
        <v>2</v>
      </c>
      <c r="G18" s="703">
        <v>21</v>
      </c>
      <c r="H18" s="101"/>
      <c r="I18" s="55" t="s">
        <v>59</v>
      </c>
    </row>
    <row r="19" spans="1:9" ht="11.25">
      <c r="A19" s="8"/>
      <c r="B19" s="10" t="s">
        <v>64</v>
      </c>
      <c r="C19" s="554">
        <v>36</v>
      </c>
      <c r="D19" s="562">
        <v>9</v>
      </c>
      <c r="E19" s="188">
        <v>6</v>
      </c>
      <c r="F19" s="188">
        <v>10</v>
      </c>
      <c r="G19" s="702">
        <v>78</v>
      </c>
      <c r="H19" s="137"/>
      <c r="I19" s="10" t="s">
        <v>64</v>
      </c>
    </row>
    <row r="20" spans="1:9" ht="11.25">
      <c r="A20" s="8"/>
      <c r="B20" s="55" t="s">
        <v>65</v>
      </c>
      <c r="C20" s="704"/>
      <c r="D20" s="760">
        <v>13</v>
      </c>
      <c r="E20" s="764">
        <v>5</v>
      </c>
      <c r="F20" s="764">
        <v>42</v>
      </c>
      <c r="G20" s="703">
        <v>137</v>
      </c>
      <c r="H20" s="101"/>
      <c r="I20" s="55" t="s">
        <v>65</v>
      </c>
    </row>
    <row r="21" spans="1:9" ht="11.25">
      <c r="A21" s="8"/>
      <c r="B21" s="10" t="s">
        <v>76</v>
      </c>
      <c r="C21" s="554"/>
      <c r="D21" s="562"/>
      <c r="E21" s="188"/>
      <c r="F21" s="188">
        <v>2</v>
      </c>
      <c r="G21" s="702">
        <v>7</v>
      </c>
      <c r="H21" s="137"/>
      <c r="I21" s="10" t="s">
        <v>76</v>
      </c>
    </row>
    <row r="22" spans="1:9" ht="11.25">
      <c r="A22" s="8"/>
      <c r="B22" s="184" t="s">
        <v>67</v>
      </c>
      <c r="C22" s="555">
        <v>1</v>
      </c>
      <c r="D22" s="561">
        <v>4</v>
      </c>
      <c r="E22" s="189">
        <v>1</v>
      </c>
      <c r="F22" s="189">
        <v>28</v>
      </c>
      <c r="G22" s="706">
        <v>86</v>
      </c>
      <c r="H22" s="477"/>
      <c r="I22" s="184" t="s">
        <v>67</v>
      </c>
    </row>
    <row r="23" spans="1:9" ht="11.25">
      <c r="A23" s="8"/>
      <c r="B23" s="10" t="s">
        <v>46</v>
      </c>
      <c r="C23" s="554"/>
      <c r="D23" s="562"/>
      <c r="E23" s="188"/>
      <c r="F23" s="188"/>
      <c r="G23" s="702">
        <v>7</v>
      </c>
      <c r="H23" s="137"/>
      <c r="I23" s="10" t="s">
        <v>46</v>
      </c>
    </row>
    <row r="24" spans="1:9" ht="11.25">
      <c r="A24" s="8"/>
      <c r="B24" s="184" t="s">
        <v>50</v>
      </c>
      <c r="C24" s="555">
        <v>6</v>
      </c>
      <c r="D24" s="561"/>
      <c r="E24" s="189"/>
      <c r="F24" s="189"/>
      <c r="G24" s="706">
        <v>4</v>
      </c>
      <c r="H24" s="477"/>
      <c r="I24" s="184" t="s">
        <v>50</v>
      </c>
    </row>
    <row r="25" spans="1:9" ht="11.25">
      <c r="A25" s="8"/>
      <c r="B25" s="10" t="s">
        <v>51</v>
      </c>
      <c r="C25" s="554">
        <v>1</v>
      </c>
      <c r="D25" s="562"/>
      <c r="E25" s="188"/>
      <c r="F25" s="188">
        <v>1</v>
      </c>
      <c r="G25" s="702">
        <v>10</v>
      </c>
      <c r="H25" s="137"/>
      <c r="I25" s="10" t="s">
        <v>51</v>
      </c>
    </row>
    <row r="26" spans="1:9" ht="11.25">
      <c r="A26" s="8"/>
      <c r="B26" s="184" t="s">
        <v>68</v>
      </c>
      <c r="C26" s="555"/>
      <c r="D26" s="561">
        <v>22</v>
      </c>
      <c r="E26" s="189"/>
      <c r="F26" s="189">
        <v>6</v>
      </c>
      <c r="G26" s="706">
        <v>79</v>
      </c>
      <c r="H26" s="477"/>
      <c r="I26" s="184" t="s">
        <v>68</v>
      </c>
    </row>
    <row r="27" spans="1:9" ht="11.25">
      <c r="A27" s="8"/>
      <c r="B27" s="10" t="s">
        <v>49</v>
      </c>
      <c r="C27" s="554">
        <v>4</v>
      </c>
      <c r="D27" s="562">
        <v>5</v>
      </c>
      <c r="E27" s="188">
        <v>1</v>
      </c>
      <c r="F27" s="188">
        <v>1</v>
      </c>
      <c r="G27" s="702">
        <v>8</v>
      </c>
      <c r="H27" s="137"/>
      <c r="I27" s="10" t="s">
        <v>49</v>
      </c>
    </row>
    <row r="28" spans="1:9" ht="11.25">
      <c r="A28" s="8"/>
      <c r="B28" s="184" t="s">
        <v>52</v>
      </c>
      <c r="C28" s="555"/>
      <c r="D28" s="561"/>
      <c r="E28" s="189">
        <v>1</v>
      </c>
      <c r="F28" s="189">
        <v>1</v>
      </c>
      <c r="G28" s="706">
        <v>154</v>
      </c>
      <c r="H28" s="477"/>
      <c r="I28" s="184" t="s">
        <v>52</v>
      </c>
    </row>
    <row r="29" spans="1:9" ht="11.25">
      <c r="A29" s="8"/>
      <c r="B29" s="10" t="s">
        <v>60</v>
      </c>
      <c r="C29" s="554"/>
      <c r="D29" s="562">
        <v>4</v>
      </c>
      <c r="E29" s="188"/>
      <c r="F29" s="188">
        <v>4</v>
      </c>
      <c r="G29" s="702">
        <v>25</v>
      </c>
      <c r="H29" s="137"/>
      <c r="I29" s="10" t="s">
        <v>60</v>
      </c>
    </row>
    <row r="30" spans="1:9" ht="11.25">
      <c r="A30" s="8"/>
      <c r="B30" s="184" t="s">
        <v>69</v>
      </c>
      <c r="C30" s="555"/>
      <c r="D30" s="561"/>
      <c r="E30" s="189"/>
      <c r="F30" s="189">
        <v>7</v>
      </c>
      <c r="G30" s="706">
        <v>206</v>
      </c>
      <c r="H30" s="477"/>
      <c r="I30" s="184" t="s">
        <v>69</v>
      </c>
    </row>
    <row r="31" spans="1:9" ht="11.25">
      <c r="A31" s="8"/>
      <c r="B31" s="10" t="s">
        <v>53</v>
      </c>
      <c r="C31" s="554">
        <v>12</v>
      </c>
      <c r="D31" s="562"/>
      <c r="E31" s="188">
        <v>2</v>
      </c>
      <c r="F31" s="188">
        <v>6</v>
      </c>
      <c r="G31" s="702">
        <v>28</v>
      </c>
      <c r="H31" s="137"/>
      <c r="I31" s="10" t="s">
        <v>53</v>
      </c>
    </row>
    <row r="32" spans="1:9" ht="11.25">
      <c r="A32" s="8"/>
      <c r="B32" s="184" t="s">
        <v>70</v>
      </c>
      <c r="C32" s="555"/>
      <c r="D32" s="561"/>
      <c r="E32" s="189"/>
      <c r="F32" s="189">
        <v>2</v>
      </c>
      <c r="G32" s="706">
        <v>117</v>
      </c>
      <c r="H32" s="477"/>
      <c r="I32" s="184" t="s">
        <v>70</v>
      </c>
    </row>
    <row r="33" spans="1:10" ht="11.25">
      <c r="A33" s="8"/>
      <c r="B33" s="10" t="s">
        <v>54</v>
      </c>
      <c r="C33" s="702"/>
      <c r="D33" s="562"/>
      <c r="E33" s="188"/>
      <c r="F33" s="188">
        <v>1</v>
      </c>
      <c r="G33" s="702">
        <v>6</v>
      </c>
      <c r="H33" s="137"/>
      <c r="I33" s="10" t="s">
        <v>54</v>
      </c>
      <c r="J33" s="2"/>
    </row>
    <row r="34" spans="1:9" ht="11.25">
      <c r="A34" s="8"/>
      <c r="B34" s="184" t="s">
        <v>56</v>
      </c>
      <c r="C34" s="555"/>
      <c r="D34" s="561">
        <v>1</v>
      </c>
      <c r="E34" s="189"/>
      <c r="F34" s="189"/>
      <c r="G34" s="706">
        <v>16</v>
      </c>
      <c r="H34" s="477"/>
      <c r="I34" s="184" t="s">
        <v>56</v>
      </c>
    </row>
    <row r="35" spans="1:9" ht="11.25">
      <c r="A35" s="8"/>
      <c r="B35" s="10" t="s">
        <v>55</v>
      </c>
      <c r="C35" s="554"/>
      <c r="D35" s="562">
        <v>2</v>
      </c>
      <c r="E35" s="188"/>
      <c r="F35" s="188">
        <v>3</v>
      </c>
      <c r="G35" s="702">
        <v>11</v>
      </c>
      <c r="H35" s="137"/>
      <c r="I35" s="10" t="s">
        <v>55</v>
      </c>
    </row>
    <row r="36" spans="1:9" ht="11.25">
      <c r="A36" s="8"/>
      <c r="B36" s="184" t="s">
        <v>71</v>
      </c>
      <c r="C36" s="555"/>
      <c r="D36" s="561"/>
      <c r="E36" s="189"/>
      <c r="F36" s="189">
        <v>3</v>
      </c>
      <c r="G36" s="706">
        <v>8</v>
      </c>
      <c r="H36" s="477"/>
      <c r="I36" s="184" t="s">
        <v>71</v>
      </c>
    </row>
    <row r="37" spans="1:9" ht="11.25">
      <c r="A37" s="8"/>
      <c r="B37" s="10" t="s">
        <v>72</v>
      </c>
      <c r="C37" s="554">
        <v>39</v>
      </c>
      <c r="D37" s="562">
        <v>2</v>
      </c>
      <c r="E37" s="188">
        <v>1</v>
      </c>
      <c r="F37" s="188">
        <v>6</v>
      </c>
      <c r="G37" s="702">
        <v>39</v>
      </c>
      <c r="H37" s="137"/>
      <c r="I37" s="10" t="s">
        <v>72</v>
      </c>
    </row>
    <row r="38" spans="1:23" ht="11.25">
      <c r="A38" s="8"/>
      <c r="B38" s="186" t="s">
        <v>61</v>
      </c>
      <c r="C38" s="707">
        <v>3</v>
      </c>
      <c r="D38" s="566">
        <v>41</v>
      </c>
      <c r="E38" s="191">
        <v>8</v>
      </c>
      <c r="F38" s="191">
        <v>13</v>
      </c>
      <c r="G38" s="707">
        <v>360</v>
      </c>
      <c r="H38" s="479"/>
      <c r="I38" s="186" t="s">
        <v>61</v>
      </c>
      <c r="J38" s="2"/>
      <c r="L38" s="903"/>
      <c r="M38" s="903"/>
      <c r="N38" s="903"/>
      <c r="O38" s="903"/>
      <c r="P38" s="903"/>
      <c r="Q38" s="903"/>
      <c r="R38" s="903"/>
      <c r="S38" s="903"/>
      <c r="T38" s="903"/>
      <c r="U38" s="903"/>
      <c r="V38" s="903"/>
      <c r="W38" s="903"/>
    </row>
    <row r="39" spans="1:23" s="903" customFormat="1" ht="11.25">
      <c r="A39" s="8"/>
      <c r="B39" s="497" t="s">
        <v>221</v>
      </c>
      <c r="C39" s="702"/>
      <c r="D39" s="562"/>
      <c r="E39" s="188"/>
      <c r="F39" s="188"/>
      <c r="G39" s="702"/>
      <c r="H39" s="137"/>
      <c r="I39" s="497" t="s">
        <v>221</v>
      </c>
      <c r="J39" s="2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10" ht="11.25">
      <c r="A40" s="8"/>
      <c r="B40" s="184" t="s">
        <v>213</v>
      </c>
      <c r="C40" s="706"/>
      <c r="D40" s="561"/>
      <c r="E40" s="189"/>
      <c r="F40" s="189"/>
      <c r="G40" s="706"/>
      <c r="H40" s="477"/>
      <c r="I40" s="184" t="s">
        <v>213</v>
      </c>
      <c r="J40" s="2"/>
    </row>
    <row r="41" spans="1:10" ht="11.25">
      <c r="A41" s="8"/>
      <c r="B41" s="497" t="s">
        <v>1</v>
      </c>
      <c r="C41" s="702"/>
      <c r="D41" s="562"/>
      <c r="E41" s="188"/>
      <c r="F41" s="188">
        <v>1</v>
      </c>
      <c r="G41" s="702"/>
      <c r="H41" s="137"/>
      <c r="I41" s="497" t="s">
        <v>1</v>
      </c>
      <c r="J41" s="2"/>
    </row>
    <row r="42" spans="1:10" ht="11.25">
      <c r="A42" s="8"/>
      <c r="B42" s="184" t="s">
        <v>212</v>
      </c>
      <c r="C42" s="706"/>
      <c r="D42" s="561"/>
      <c r="E42" s="189"/>
      <c r="F42" s="189"/>
      <c r="G42" s="706"/>
      <c r="H42" s="477"/>
      <c r="I42" s="184" t="s">
        <v>212</v>
      </c>
      <c r="J42" s="2"/>
    </row>
    <row r="43" spans="1:10" ht="11.25">
      <c r="A43" s="8"/>
      <c r="B43" s="498" t="s">
        <v>57</v>
      </c>
      <c r="C43" s="796"/>
      <c r="D43" s="569">
        <v>19</v>
      </c>
      <c r="E43" s="531"/>
      <c r="F43" s="531">
        <v>27</v>
      </c>
      <c r="G43" s="796">
        <v>93</v>
      </c>
      <c r="H43" s="954"/>
      <c r="I43" s="498" t="s">
        <v>57</v>
      </c>
      <c r="J43" s="2"/>
    </row>
    <row r="44" spans="1:10" ht="11.25">
      <c r="A44" s="8"/>
      <c r="B44" s="182" t="s">
        <v>43</v>
      </c>
      <c r="C44" s="706"/>
      <c r="D44" s="561">
        <v>9</v>
      </c>
      <c r="E44" s="189"/>
      <c r="F44" s="189">
        <v>1</v>
      </c>
      <c r="G44" s="706"/>
      <c r="H44" s="477"/>
      <c r="I44" s="182" t="s">
        <v>43</v>
      </c>
      <c r="J44" s="2"/>
    </row>
    <row r="45" spans="1:10" ht="11.25">
      <c r="A45" s="8"/>
      <c r="B45" s="497" t="s">
        <v>73</v>
      </c>
      <c r="C45" s="702"/>
      <c r="D45" s="562"/>
      <c r="E45" s="188"/>
      <c r="F45" s="188"/>
      <c r="G45" s="702">
        <v>9</v>
      </c>
      <c r="H45" s="137"/>
      <c r="I45" s="497" t="s">
        <v>73</v>
      </c>
      <c r="J45" s="2"/>
    </row>
    <row r="46" spans="1:10" ht="11.25">
      <c r="A46" s="8"/>
      <c r="B46" s="184" t="s">
        <v>44</v>
      </c>
      <c r="C46" s="706">
        <v>13</v>
      </c>
      <c r="D46" s="561"/>
      <c r="E46" s="189"/>
      <c r="F46" s="189">
        <v>7</v>
      </c>
      <c r="G46" s="706">
        <v>129</v>
      </c>
      <c r="H46" s="477"/>
      <c r="I46" s="184" t="s">
        <v>44</v>
      </c>
      <c r="J46" s="2"/>
    </row>
    <row r="47" spans="1:10" ht="11.25">
      <c r="A47" s="8"/>
      <c r="B47" s="498" t="s">
        <v>83</v>
      </c>
      <c r="C47" s="796"/>
      <c r="D47" s="569"/>
      <c r="E47" s="531"/>
      <c r="F47" s="531"/>
      <c r="G47" s="796">
        <v>2</v>
      </c>
      <c r="H47" s="954"/>
      <c r="I47" s="498" t="s">
        <v>83</v>
      </c>
      <c r="J47" s="2"/>
    </row>
    <row r="48" spans="2:10" ht="11.25">
      <c r="B48" s="387" t="s">
        <v>190</v>
      </c>
      <c r="C48" s="37"/>
      <c r="D48" s="37"/>
      <c r="E48" s="37"/>
      <c r="F48" s="2"/>
      <c r="G48" s="2"/>
      <c r="H48" s="2"/>
      <c r="I48" s="37"/>
      <c r="J48" s="15"/>
    </row>
    <row r="49" spans="2:10" ht="11.25">
      <c r="B49" s="1108" t="s">
        <v>0</v>
      </c>
      <c r="C49" s="1108"/>
      <c r="D49" s="1108"/>
      <c r="E49" s="1108"/>
      <c r="F49" s="1108"/>
      <c r="G49" s="1108"/>
      <c r="H49" s="368"/>
      <c r="I49" s="388"/>
      <c r="J49" s="12"/>
    </row>
    <row r="50" spans="2:10" ht="11.25">
      <c r="B50" s="1104" t="s">
        <v>191</v>
      </c>
      <c r="C50" s="1098"/>
      <c r="D50" s="1098"/>
      <c r="E50" s="1098"/>
      <c r="F50" s="1098"/>
      <c r="G50" s="1098"/>
      <c r="H50" s="1098"/>
      <c r="I50" s="1098"/>
      <c r="J50" s="12"/>
    </row>
    <row r="51" ht="11.25">
      <c r="B51" s="389" t="s">
        <v>109</v>
      </c>
    </row>
    <row r="52" ht="11.25">
      <c r="B52" s="61" t="s">
        <v>113</v>
      </c>
    </row>
  </sheetData>
  <sheetProtection/>
  <mergeCells count="9">
    <mergeCell ref="B50:I50"/>
    <mergeCell ref="F5:F6"/>
    <mergeCell ref="C5:D5"/>
    <mergeCell ref="B49:G49"/>
    <mergeCell ref="B2:I2"/>
    <mergeCell ref="B3:I3"/>
    <mergeCell ref="B4:I4"/>
    <mergeCell ref="G5:H6"/>
    <mergeCell ref="G7:H7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82"/>
  <dimension ref="A1:Y58"/>
  <sheetViews>
    <sheetView zoomScalePageLayoutView="0" workbookViewId="0" topLeftCell="I1">
      <selection activeCell="V5" sqref="V5:V7"/>
    </sheetView>
  </sheetViews>
  <sheetFormatPr defaultColWidth="9.140625" defaultRowHeight="12.75"/>
  <cols>
    <col min="1" max="1" width="4.57421875" style="3" customWidth="1"/>
    <col min="2" max="2" width="6.7109375" style="3" customWidth="1"/>
    <col min="3" max="19" width="9.140625" style="3" customWidth="1"/>
    <col min="20" max="20" width="9.140625" style="903" customWidth="1"/>
    <col min="21" max="21" width="9.140625" style="995" customWidth="1"/>
    <col min="22" max="22" width="9.140625" style="3" customWidth="1"/>
    <col min="23" max="23" width="2.7109375" style="3" customWidth="1"/>
    <col min="24" max="16384" width="9.140625" style="3" customWidth="1"/>
  </cols>
  <sheetData>
    <row r="1" spans="1:24" ht="14.25" customHeight="1">
      <c r="A1" s="493"/>
      <c r="B1" s="501"/>
      <c r="C1" s="499"/>
      <c r="D1" s="499"/>
      <c r="E1" s="510"/>
      <c r="F1" s="510"/>
      <c r="G1" s="499"/>
      <c r="H1" s="493"/>
      <c r="I1" s="493"/>
      <c r="J1" s="493"/>
      <c r="K1" s="502"/>
      <c r="L1" s="502"/>
      <c r="M1" s="502"/>
      <c r="N1" s="502"/>
      <c r="O1" s="502"/>
      <c r="P1" s="502"/>
      <c r="Q1" s="502"/>
      <c r="R1" s="502"/>
      <c r="S1" s="502"/>
      <c r="T1" s="502"/>
      <c r="U1" s="502"/>
      <c r="V1" s="502" t="s">
        <v>163</v>
      </c>
      <c r="W1" s="493"/>
      <c r="X1" s="493"/>
    </row>
    <row r="2" spans="1:24" s="61" customFormat="1" ht="30" customHeight="1">
      <c r="A2" s="508"/>
      <c r="B2" s="1048" t="s">
        <v>16</v>
      </c>
      <c r="C2" s="1048"/>
      <c r="D2" s="1048"/>
      <c r="E2" s="1048"/>
      <c r="F2" s="1048"/>
      <c r="G2" s="1048"/>
      <c r="H2" s="1048"/>
      <c r="I2" s="1048"/>
      <c r="J2" s="1048"/>
      <c r="K2" s="1048"/>
      <c r="L2" s="1048"/>
      <c r="M2" s="1048"/>
      <c r="N2" s="1048"/>
      <c r="O2" s="1048"/>
      <c r="P2" s="1048"/>
      <c r="Q2" s="1048"/>
      <c r="R2" s="1048"/>
      <c r="S2" s="1048"/>
      <c r="T2" s="1048"/>
      <c r="U2" s="1048"/>
      <c r="V2" s="1048"/>
      <c r="W2" s="507"/>
      <c r="X2" s="507"/>
    </row>
    <row r="3" spans="1:24" ht="18" customHeight="1">
      <c r="A3" s="493"/>
      <c r="B3" s="1029" t="s">
        <v>12</v>
      </c>
      <c r="C3" s="1029"/>
      <c r="D3" s="1029"/>
      <c r="E3" s="1029"/>
      <c r="F3" s="1029"/>
      <c r="G3" s="1029"/>
      <c r="H3" s="1029"/>
      <c r="I3" s="1029"/>
      <c r="J3" s="1029"/>
      <c r="K3" s="1029"/>
      <c r="L3" s="1029"/>
      <c r="M3" s="1029"/>
      <c r="N3" s="1029"/>
      <c r="O3" s="1029"/>
      <c r="P3" s="1029"/>
      <c r="Q3" s="1029"/>
      <c r="R3" s="1029"/>
      <c r="S3" s="1029"/>
      <c r="T3" s="1029"/>
      <c r="U3" s="1029"/>
      <c r="V3" s="1029"/>
      <c r="W3" s="493"/>
      <c r="X3" s="493"/>
    </row>
    <row r="4" spans="1:24" ht="24.75" customHeight="1">
      <c r="A4" s="493"/>
      <c r="B4" s="509"/>
      <c r="C4" s="514">
        <v>1970</v>
      </c>
      <c r="D4" s="515">
        <v>1980</v>
      </c>
      <c r="E4" s="515">
        <v>1990</v>
      </c>
      <c r="F4" s="515">
        <v>2000</v>
      </c>
      <c r="G4" s="515">
        <v>2001</v>
      </c>
      <c r="H4" s="515">
        <v>2002</v>
      </c>
      <c r="I4" s="515">
        <v>2003</v>
      </c>
      <c r="J4" s="515">
        <v>2004</v>
      </c>
      <c r="K4" s="515">
        <v>2005</v>
      </c>
      <c r="L4" s="515">
        <v>2006</v>
      </c>
      <c r="M4" s="515">
        <v>2007</v>
      </c>
      <c r="N4" s="515">
        <v>2008</v>
      </c>
      <c r="O4" s="515">
        <v>2009</v>
      </c>
      <c r="P4" s="515">
        <v>2010</v>
      </c>
      <c r="Q4" s="515">
        <v>2011</v>
      </c>
      <c r="R4" s="59">
        <v>2012</v>
      </c>
      <c r="S4" s="59">
        <v>2013</v>
      </c>
      <c r="T4" s="1010">
        <v>2014</v>
      </c>
      <c r="U4" s="506">
        <v>2015</v>
      </c>
      <c r="V4" s="495"/>
      <c r="W4" s="493"/>
      <c r="X4" s="494" t="s">
        <v>265</v>
      </c>
    </row>
    <row r="5" spans="1:24" ht="12.75" customHeight="1">
      <c r="A5" s="493"/>
      <c r="B5" s="505" t="s">
        <v>222</v>
      </c>
      <c r="C5" s="699"/>
      <c r="D5" s="656"/>
      <c r="E5" s="655">
        <v>66278</v>
      </c>
      <c r="F5" s="656"/>
      <c r="G5" s="656"/>
      <c r="H5" s="656">
        <v>53655</v>
      </c>
      <c r="I5" s="656">
        <v>52011</v>
      </c>
      <c r="J5" s="656">
        <v>49109</v>
      </c>
      <c r="K5" s="656">
        <v>47923</v>
      </c>
      <c r="L5" s="765">
        <v>48635</v>
      </c>
      <c r="M5" s="656">
        <v>61964</v>
      </c>
      <c r="N5" s="656">
        <v>61482</v>
      </c>
      <c r="O5" s="765">
        <v>61838</v>
      </c>
      <c r="P5" s="766">
        <v>59851</v>
      </c>
      <c r="Q5" s="655">
        <v>58872</v>
      </c>
      <c r="R5" s="767">
        <v>56953</v>
      </c>
      <c r="S5" s="767">
        <f>SUM(S8:S35)</f>
        <v>62150</v>
      </c>
      <c r="T5" s="767">
        <f>SUM(T8:T35)</f>
        <v>63753</v>
      </c>
      <c r="U5" s="797">
        <f>SUM(U8:U35)</f>
        <v>62052</v>
      </c>
      <c r="V5" s="69" t="s">
        <v>222</v>
      </c>
      <c r="W5" s="493"/>
      <c r="X5" s="521">
        <f>U5/T5-1</f>
        <v>-0.02668109736012425</v>
      </c>
    </row>
    <row r="6" spans="1:24" ht="12.75" customHeight="1">
      <c r="A6" s="493"/>
      <c r="B6" s="503" t="s">
        <v>227</v>
      </c>
      <c r="C6" s="768">
        <v>43847</v>
      </c>
      <c r="D6" s="769">
        <v>40926</v>
      </c>
      <c r="E6" s="769">
        <v>43444</v>
      </c>
      <c r="F6" s="769"/>
      <c r="G6" s="769"/>
      <c r="H6" s="769">
        <v>36515</v>
      </c>
      <c r="I6" s="769">
        <v>36349</v>
      </c>
      <c r="J6" s="769">
        <v>33986</v>
      </c>
      <c r="K6" s="769">
        <v>33062</v>
      </c>
      <c r="L6" s="770">
        <v>34026</v>
      </c>
      <c r="M6" s="769">
        <v>47314</v>
      </c>
      <c r="N6" s="769">
        <v>47197</v>
      </c>
      <c r="O6" s="770">
        <v>47323</v>
      </c>
      <c r="P6" s="771">
        <v>46906</v>
      </c>
      <c r="Q6" s="772">
        <v>46043</v>
      </c>
      <c r="R6" s="772">
        <v>44433</v>
      </c>
      <c r="S6" s="772">
        <f>S5-S7</f>
        <v>47839</v>
      </c>
      <c r="T6" s="772">
        <f>T5-T7</f>
        <v>49474</v>
      </c>
      <c r="U6" s="798">
        <f>U5-U7</f>
        <v>47841</v>
      </c>
      <c r="V6" s="70" t="s">
        <v>227</v>
      </c>
      <c r="W6" s="493"/>
      <c r="X6" s="521">
        <f aca="true" t="shared" si="0" ref="X6:X43">U6/T6-1</f>
        <v>-0.033007236124024786</v>
      </c>
    </row>
    <row r="7" spans="1:24" ht="12.75" customHeight="1">
      <c r="A7" s="493"/>
      <c r="B7" s="504" t="s">
        <v>231</v>
      </c>
      <c r="C7" s="773"/>
      <c r="D7" s="774"/>
      <c r="E7" s="775">
        <v>22271</v>
      </c>
      <c r="F7" s="774">
        <v>17460</v>
      </c>
      <c r="G7" s="774">
        <v>17068</v>
      </c>
      <c r="H7" s="774">
        <v>17140</v>
      </c>
      <c r="I7" s="774">
        <v>15662</v>
      </c>
      <c r="J7" s="774">
        <v>15123</v>
      </c>
      <c r="K7" s="774">
        <v>14861</v>
      </c>
      <c r="L7" s="774">
        <v>14609</v>
      </c>
      <c r="M7" s="774">
        <v>14650</v>
      </c>
      <c r="N7" s="774">
        <v>14285</v>
      </c>
      <c r="O7" s="776">
        <v>14515</v>
      </c>
      <c r="P7" s="777">
        <v>12945</v>
      </c>
      <c r="Q7" s="774">
        <v>12829</v>
      </c>
      <c r="R7" s="774">
        <v>12520</v>
      </c>
      <c r="S7" s="775">
        <f>S9+S10+S13+S18+S21+S22+S24+S28+S30+S31+S32</f>
        <v>14311</v>
      </c>
      <c r="T7" s="775">
        <f>T9+T10+T13+T18+T21+T22+T24+T28+T30+T31+T32</f>
        <v>14279</v>
      </c>
      <c r="U7" s="810">
        <f>U9+U10+U13+U18+U21+U22+U24+U28+U30+U31+U32</f>
        <v>14211</v>
      </c>
      <c r="V7" s="71" t="s">
        <v>231</v>
      </c>
      <c r="W7" s="493"/>
      <c r="X7" s="521">
        <f t="shared" si="0"/>
        <v>-0.004762238251978412</v>
      </c>
    </row>
    <row r="8" spans="1:24" ht="12.75" customHeight="1">
      <c r="A8" s="493"/>
      <c r="B8" s="497" t="s">
        <v>62</v>
      </c>
      <c r="C8" s="708">
        <v>1536</v>
      </c>
      <c r="D8" s="709">
        <v>1740</v>
      </c>
      <c r="E8" s="709">
        <v>1727</v>
      </c>
      <c r="F8" s="709">
        <v>1670</v>
      </c>
      <c r="G8" s="709">
        <v>1706</v>
      </c>
      <c r="H8" s="709">
        <v>1678</v>
      </c>
      <c r="I8" s="709">
        <v>1522</v>
      </c>
      <c r="J8" s="709">
        <v>1528</v>
      </c>
      <c r="K8" s="709">
        <v>1518</v>
      </c>
      <c r="L8" s="709">
        <v>1469</v>
      </c>
      <c r="M8" s="709">
        <v>1449</v>
      </c>
      <c r="N8" s="709">
        <v>1403</v>
      </c>
      <c r="O8" s="709">
        <v>1341</v>
      </c>
      <c r="P8" s="709">
        <v>1341</v>
      </c>
      <c r="Q8" s="709">
        <v>1266</v>
      </c>
      <c r="R8" s="778">
        <v>1266</v>
      </c>
      <c r="S8" s="709">
        <f>66+310+95+717</f>
        <v>1188</v>
      </c>
      <c r="T8" s="778">
        <f>66+310+95+717</f>
        <v>1188</v>
      </c>
      <c r="U8" s="799">
        <f>66+310+95+717</f>
        <v>1188</v>
      </c>
      <c r="V8" s="72" t="s">
        <v>62</v>
      </c>
      <c r="W8" s="493"/>
      <c r="X8" s="521">
        <f t="shared" si="0"/>
        <v>0</v>
      </c>
    </row>
    <row r="9" spans="1:24" ht="12.75" customHeight="1">
      <c r="A9" s="493"/>
      <c r="B9" s="503" t="s">
        <v>45</v>
      </c>
      <c r="C9" s="779">
        <v>1005</v>
      </c>
      <c r="D9" s="780">
        <v>1009</v>
      </c>
      <c r="E9" s="780">
        <v>1119</v>
      </c>
      <c r="F9" s="780">
        <v>762</v>
      </c>
      <c r="G9" s="780">
        <v>753</v>
      </c>
      <c r="H9" s="780">
        <v>680</v>
      </c>
      <c r="I9" s="780">
        <v>671</v>
      </c>
      <c r="J9" s="780">
        <v>657</v>
      </c>
      <c r="K9" s="780">
        <v>669</v>
      </c>
      <c r="L9" s="780">
        <v>687</v>
      </c>
      <c r="M9" s="780">
        <v>699</v>
      </c>
      <c r="N9" s="780">
        <v>713</v>
      </c>
      <c r="O9" s="780">
        <v>712</v>
      </c>
      <c r="P9" s="780">
        <v>624</v>
      </c>
      <c r="Q9" s="780">
        <v>474</v>
      </c>
      <c r="R9" s="780">
        <v>451</v>
      </c>
      <c r="S9" s="780">
        <f>117+90+79+119+1+55+9+20+9+5</f>
        <v>504</v>
      </c>
      <c r="T9" s="780">
        <f>79+11+119+23+26+55</f>
        <v>313</v>
      </c>
      <c r="U9" s="800">
        <f>71+81+12+71+125+24+1+55</f>
        <v>440</v>
      </c>
      <c r="V9" s="70" t="s">
        <v>45</v>
      </c>
      <c r="W9" s="493"/>
      <c r="X9" s="516">
        <f t="shared" si="0"/>
        <v>0.4057507987220448</v>
      </c>
    </row>
    <row r="10" spans="1:24" ht="12.75" customHeight="1">
      <c r="A10" s="493"/>
      <c r="B10" s="497" t="s">
        <v>47</v>
      </c>
      <c r="C10" s="781"/>
      <c r="D10" s="782"/>
      <c r="E10" s="782"/>
      <c r="F10" s="709">
        <v>3596</v>
      </c>
      <c r="G10" s="709">
        <v>3481</v>
      </c>
      <c r="H10" s="709">
        <v>3301</v>
      </c>
      <c r="I10" s="709">
        <v>3280</v>
      </c>
      <c r="J10" s="709">
        <v>3258</v>
      </c>
      <c r="K10" s="709">
        <v>3163</v>
      </c>
      <c r="L10" s="709">
        <v>3037</v>
      </c>
      <c r="M10" s="709">
        <v>2921</v>
      </c>
      <c r="N10" s="709">
        <v>2758</v>
      </c>
      <c r="O10" s="709">
        <v>2746</v>
      </c>
      <c r="P10" s="783">
        <v>2258</v>
      </c>
      <c r="Q10" s="709">
        <v>2408</v>
      </c>
      <c r="R10" s="709">
        <v>2124</v>
      </c>
      <c r="S10" s="709">
        <f>787+733+464+290</f>
        <v>2274</v>
      </c>
      <c r="T10" s="709">
        <f>775+721+463+303</f>
        <v>2262</v>
      </c>
      <c r="U10" s="801">
        <f>756+691+455+310</f>
        <v>2212</v>
      </c>
      <c r="V10" s="73" t="s">
        <v>47</v>
      </c>
      <c r="W10" s="493"/>
      <c r="X10" s="516">
        <f t="shared" si="0"/>
        <v>-0.02210433244915999</v>
      </c>
    </row>
    <row r="11" spans="1:24" ht="12.75" customHeight="1">
      <c r="A11" s="493"/>
      <c r="B11" s="503" t="s">
        <v>58</v>
      </c>
      <c r="C11" s="779">
        <v>480</v>
      </c>
      <c r="D11" s="780">
        <v>461</v>
      </c>
      <c r="E11" s="780">
        <v>524</v>
      </c>
      <c r="F11" s="780">
        <v>415</v>
      </c>
      <c r="G11" s="780">
        <v>495</v>
      </c>
      <c r="H11" s="780">
        <v>566</v>
      </c>
      <c r="I11" s="780">
        <v>458</v>
      </c>
      <c r="J11" s="780">
        <v>458</v>
      </c>
      <c r="K11" s="780">
        <v>464</v>
      </c>
      <c r="L11" s="780">
        <v>447</v>
      </c>
      <c r="M11" s="780">
        <v>447</v>
      </c>
      <c r="N11" s="780">
        <v>448</v>
      </c>
      <c r="O11" s="780">
        <v>538</v>
      </c>
      <c r="P11" s="780">
        <v>495</v>
      </c>
      <c r="Q11" s="780">
        <v>332</v>
      </c>
      <c r="R11" s="780">
        <v>347</v>
      </c>
      <c r="S11" s="780">
        <f>47+6+264+160</f>
        <v>477</v>
      </c>
      <c r="T11" s="780">
        <f>48+6+287+160</f>
        <v>501</v>
      </c>
      <c r="U11" s="800">
        <f>48+6+269</f>
        <v>323</v>
      </c>
      <c r="V11" s="70" t="s">
        <v>58</v>
      </c>
      <c r="W11" s="493"/>
      <c r="X11" s="516">
        <f t="shared" si="0"/>
        <v>-0.3552894211576846</v>
      </c>
    </row>
    <row r="12" spans="1:24" ht="12.75" customHeight="1">
      <c r="A12" s="493"/>
      <c r="B12" s="497" t="s">
        <v>63</v>
      </c>
      <c r="C12" s="784">
        <v>11439</v>
      </c>
      <c r="D12" s="709">
        <v>12694</v>
      </c>
      <c r="E12" s="709">
        <v>14437</v>
      </c>
      <c r="F12" s="709">
        <v>9656</v>
      </c>
      <c r="G12" s="709">
        <v>9998</v>
      </c>
      <c r="H12" s="709">
        <v>9036</v>
      </c>
      <c r="I12" s="709">
        <v>10363</v>
      </c>
      <c r="J12" s="709">
        <v>8293</v>
      </c>
      <c r="K12" s="709">
        <v>7742</v>
      </c>
      <c r="L12" s="785">
        <v>8817</v>
      </c>
      <c r="M12" s="709">
        <v>13890</v>
      </c>
      <c r="N12" s="709">
        <v>14565</v>
      </c>
      <c r="O12" s="709">
        <v>15337</v>
      </c>
      <c r="P12" s="709">
        <v>15613</v>
      </c>
      <c r="Q12" s="709">
        <v>15492</v>
      </c>
      <c r="R12" s="709">
        <v>15103</v>
      </c>
      <c r="S12" s="709">
        <f>345+1978+2560+2980+8024</f>
        <v>15887</v>
      </c>
      <c r="T12" s="709">
        <f>1817+2468+3270+9138</f>
        <v>16693</v>
      </c>
      <c r="U12" s="801">
        <f>1795+2502+3299+9017</f>
        <v>16613</v>
      </c>
      <c r="V12" s="73" t="s">
        <v>63</v>
      </c>
      <c r="W12" s="493"/>
      <c r="X12" s="516">
        <f t="shared" si="0"/>
        <v>-0.004792427963817181</v>
      </c>
    </row>
    <row r="13" spans="1:25" ht="12.75" customHeight="1">
      <c r="A13" s="493"/>
      <c r="B13" s="503" t="s">
        <v>48</v>
      </c>
      <c r="C13" s="779"/>
      <c r="D13" s="780"/>
      <c r="E13" s="786">
        <v>300</v>
      </c>
      <c r="F13" s="965">
        <v>196</v>
      </c>
      <c r="G13" s="780">
        <v>194</v>
      </c>
      <c r="H13" s="780">
        <v>236</v>
      </c>
      <c r="I13" s="780">
        <v>241</v>
      </c>
      <c r="J13" s="780">
        <v>360</v>
      </c>
      <c r="K13" s="780">
        <v>344</v>
      </c>
      <c r="L13" s="780">
        <v>409</v>
      </c>
      <c r="M13" s="780">
        <v>461</v>
      </c>
      <c r="N13" s="780">
        <v>368</v>
      </c>
      <c r="O13" s="780">
        <v>361</v>
      </c>
      <c r="P13" s="780">
        <v>374</v>
      </c>
      <c r="Q13" s="780">
        <v>359</v>
      </c>
      <c r="R13" s="780">
        <v>347</v>
      </c>
      <c r="S13" s="780">
        <v>359</v>
      </c>
      <c r="T13" s="780">
        <v>368</v>
      </c>
      <c r="U13" s="800">
        <v>358</v>
      </c>
      <c r="V13" s="70" t="s">
        <v>48</v>
      </c>
      <c r="W13" s="493"/>
      <c r="X13" s="521">
        <f t="shared" si="0"/>
        <v>-0.02717391304347827</v>
      </c>
      <c r="Y13" s="3" t="s">
        <v>200</v>
      </c>
    </row>
    <row r="14" spans="1:24" ht="12.75" customHeight="1">
      <c r="A14" s="493"/>
      <c r="B14" s="497" t="s">
        <v>66</v>
      </c>
      <c r="C14" s="708">
        <v>307</v>
      </c>
      <c r="D14" s="709">
        <v>192</v>
      </c>
      <c r="E14" s="709">
        <v>166</v>
      </c>
      <c r="F14" s="709">
        <v>172</v>
      </c>
      <c r="G14" s="709">
        <v>169</v>
      </c>
      <c r="H14" s="709">
        <v>225</v>
      </c>
      <c r="I14" s="709">
        <v>268</v>
      </c>
      <c r="J14" s="787">
        <v>306</v>
      </c>
      <c r="K14" s="787">
        <v>412</v>
      </c>
      <c r="L14" s="787">
        <v>428</v>
      </c>
      <c r="M14" s="787">
        <v>428</v>
      </c>
      <c r="N14" s="787">
        <v>549</v>
      </c>
      <c r="O14" s="787">
        <v>572</v>
      </c>
      <c r="P14" s="788">
        <v>572</v>
      </c>
      <c r="Q14" s="787">
        <v>374</v>
      </c>
      <c r="R14" s="788">
        <v>374</v>
      </c>
      <c r="S14" s="787">
        <f>52+414+154</f>
        <v>620</v>
      </c>
      <c r="T14" s="787">
        <f>52+414+154</f>
        <v>620</v>
      </c>
      <c r="U14" s="803">
        <f>40+386+144</f>
        <v>570</v>
      </c>
      <c r="V14" s="73" t="s">
        <v>66</v>
      </c>
      <c r="W14" s="493"/>
      <c r="X14" s="516">
        <f t="shared" si="0"/>
        <v>-0.08064516129032262</v>
      </c>
    </row>
    <row r="15" spans="1:24" ht="12.75" customHeight="1">
      <c r="A15" s="493"/>
      <c r="B15" s="503" t="s">
        <v>59</v>
      </c>
      <c r="C15" s="779">
        <v>514</v>
      </c>
      <c r="D15" s="780">
        <v>313</v>
      </c>
      <c r="E15" s="780">
        <v>400</v>
      </c>
      <c r="F15" s="780">
        <v>244</v>
      </c>
      <c r="G15" s="780">
        <v>290</v>
      </c>
      <c r="H15" s="780">
        <v>278</v>
      </c>
      <c r="I15" s="780">
        <v>237</v>
      </c>
      <c r="J15" s="780">
        <v>269</v>
      </c>
      <c r="K15" s="780">
        <v>289</v>
      </c>
      <c r="L15" s="780">
        <v>284</v>
      </c>
      <c r="M15" s="780">
        <v>295</v>
      </c>
      <c r="N15" s="780">
        <v>301</v>
      </c>
      <c r="O15" s="780">
        <v>301</v>
      </c>
      <c r="P15" s="965">
        <v>306</v>
      </c>
      <c r="Q15" s="780">
        <v>306</v>
      </c>
      <c r="R15" s="780">
        <v>306</v>
      </c>
      <c r="S15" s="780">
        <v>308</v>
      </c>
      <c r="T15" s="786">
        <v>308</v>
      </c>
      <c r="U15" s="802">
        <v>308</v>
      </c>
      <c r="V15" s="70" t="s">
        <v>59</v>
      </c>
      <c r="W15" s="493"/>
      <c r="X15" s="521">
        <f t="shared" si="0"/>
        <v>0</v>
      </c>
    </row>
    <row r="16" spans="1:24" ht="12.75" customHeight="1">
      <c r="A16" s="493"/>
      <c r="B16" s="497" t="s">
        <v>64</v>
      </c>
      <c r="C16" s="708">
        <v>1928</v>
      </c>
      <c r="D16" s="709">
        <v>1791</v>
      </c>
      <c r="E16" s="709">
        <v>1922</v>
      </c>
      <c r="F16" s="709">
        <v>1693</v>
      </c>
      <c r="G16" s="709">
        <v>1951</v>
      </c>
      <c r="H16" s="709">
        <v>1931</v>
      </c>
      <c r="I16" s="709">
        <v>1911</v>
      </c>
      <c r="J16" s="709">
        <v>1928</v>
      </c>
      <c r="K16" s="709">
        <v>1946</v>
      </c>
      <c r="L16" s="787">
        <v>1745</v>
      </c>
      <c r="M16" s="709">
        <v>1918</v>
      </c>
      <c r="N16" s="709">
        <v>1983</v>
      </c>
      <c r="O16" s="709">
        <v>1670</v>
      </c>
      <c r="P16" s="709">
        <v>1732</v>
      </c>
      <c r="Q16" s="709">
        <v>2052</v>
      </c>
      <c r="R16" s="709">
        <v>1785</v>
      </c>
      <c r="S16" s="709">
        <f>12+1+53+10+11+1+174+285+203+1032</f>
        <v>1782</v>
      </c>
      <c r="T16" s="709">
        <f>12+189+1+279+209+236+1033</f>
        <v>1959</v>
      </c>
      <c r="U16" s="801">
        <v>1634</v>
      </c>
      <c r="V16" s="73" t="s">
        <v>64</v>
      </c>
      <c r="W16" s="493"/>
      <c r="X16" s="516">
        <f t="shared" si="0"/>
        <v>-0.16590096988259317</v>
      </c>
    </row>
    <row r="17" spans="2:24" ht="12.75" customHeight="1">
      <c r="B17" s="503" t="s">
        <v>65</v>
      </c>
      <c r="C17" s="779">
        <v>6261</v>
      </c>
      <c r="D17" s="780">
        <v>6204</v>
      </c>
      <c r="E17" s="780">
        <v>7279</v>
      </c>
      <c r="F17" s="780">
        <v>7158</v>
      </c>
      <c r="G17" s="780">
        <v>7224</v>
      </c>
      <c r="H17" s="780">
        <v>7336</v>
      </c>
      <c r="I17" s="780">
        <v>7240</v>
      </c>
      <c r="J17" s="780">
        <v>7149</v>
      </c>
      <c r="K17" s="780">
        <v>7354</v>
      </c>
      <c r="L17" s="780">
        <v>6995</v>
      </c>
      <c r="M17" s="780">
        <v>7155</v>
      </c>
      <c r="N17" s="780">
        <v>7050</v>
      </c>
      <c r="O17" s="780">
        <v>6758</v>
      </c>
      <c r="P17" s="780">
        <v>6768</v>
      </c>
      <c r="Q17" s="780">
        <v>6293</v>
      </c>
      <c r="R17" s="780">
        <v>5895</v>
      </c>
      <c r="S17" s="780">
        <f>1606+1076+1081+1929</f>
        <v>5692</v>
      </c>
      <c r="T17" s="780">
        <f>1545+1049+1096+2057</f>
        <v>5747</v>
      </c>
      <c r="U17" s="800">
        <v>5560</v>
      </c>
      <c r="V17" s="70" t="s">
        <v>65</v>
      </c>
      <c r="W17" s="493"/>
      <c r="X17" s="516">
        <f t="shared" si="0"/>
        <v>-0.03253871585174872</v>
      </c>
    </row>
    <row r="18" spans="2:24" ht="12.75" customHeight="1">
      <c r="B18" s="497" t="s">
        <v>76</v>
      </c>
      <c r="C18" s="708">
        <v>588</v>
      </c>
      <c r="D18" s="709">
        <v>565</v>
      </c>
      <c r="E18" s="709">
        <v>563</v>
      </c>
      <c r="F18" s="709">
        <v>480</v>
      </c>
      <c r="G18" s="709">
        <v>397</v>
      </c>
      <c r="H18" s="709">
        <v>396</v>
      </c>
      <c r="I18" s="709">
        <v>393</v>
      </c>
      <c r="J18" s="709">
        <v>388</v>
      </c>
      <c r="K18" s="709">
        <v>377</v>
      </c>
      <c r="L18" s="709">
        <v>374</v>
      </c>
      <c r="M18" s="709">
        <v>339</v>
      </c>
      <c r="N18" s="709">
        <v>345</v>
      </c>
      <c r="O18" s="709">
        <v>347</v>
      </c>
      <c r="P18" s="709">
        <v>284</v>
      </c>
      <c r="Q18" s="709">
        <v>296</v>
      </c>
      <c r="R18" s="778">
        <v>296</v>
      </c>
      <c r="S18" s="709">
        <f>121+66+38+41+35</f>
        <v>301</v>
      </c>
      <c r="T18" s="709">
        <f>121+38+66+41+35</f>
        <v>301</v>
      </c>
      <c r="U18" s="801">
        <f>121+35+66+41+35</f>
        <v>298</v>
      </c>
      <c r="V18" s="73" t="s">
        <v>76</v>
      </c>
      <c r="W18" s="493"/>
      <c r="X18" s="516">
        <f t="shared" si="0"/>
        <v>-0.009966777408637828</v>
      </c>
    </row>
    <row r="19" spans="2:24" ht="12.75" customHeight="1">
      <c r="B19" s="184" t="s">
        <v>67</v>
      </c>
      <c r="C19" s="710">
        <v>4715</v>
      </c>
      <c r="D19" s="711">
        <v>4916</v>
      </c>
      <c r="E19" s="711">
        <v>4818</v>
      </c>
      <c r="F19" s="711">
        <v>4697</v>
      </c>
      <c r="G19" s="711">
        <v>4650</v>
      </c>
      <c r="H19" s="711">
        <v>5205</v>
      </c>
      <c r="I19" s="711">
        <v>4937</v>
      </c>
      <c r="J19" s="711">
        <v>4901</v>
      </c>
      <c r="K19" s="711">
        <v>4674</v>
      </c>
      <c r="L19" s="711">
        <v>5008</v>
      </c>
      <c r="M19" s="711">
        <v>4683</v>
      </c>
      <c r="N19" s="711">
        <v>4621</v>
      </c>
      <c r="O19" s="711">
        <v>4691</v>
      </c>
      <c r="P19" s="711">
        <v>4494</v>
      </c>
      <c r="Q19" s="711">
        <v>3862</v>
      </c>
      <c r="R19" s="711">
        <v>3650</v>
      </c>
      <c r="S19" s="711">
        <f>843+1506+546+348</f>
        <v>3243</v>
      </c>
      <c r="T19" s="711">
        <f>785+1650+510+340</f>
        <v>3285</v>
      </c>
      <c r="U19" s="804">
        <v>2631</v>
      </c>
      <c r="V19" s="449" t="s">
        <v>67</v>
      </c>
      <c r="W19" s="493"/>
      <c r="X19" s="516">
        <f t="shared" si="0"/>
        <v>-0.1990867579908676</v>
      </c>
    </row>
    <row r="20" spans="2:24" ht="12.75" customHeight="1">
      <c r="B20" s="497" t="s">
        <v>46</v>
      </c>
      <c r="C20" s="781" t="s">
        <v>75</v>
      </c>
      <c r="D20" s="782" t="s">
        <v>75</v>
      </c>
      <c r="E20" s="782" t="s">
        <v>75</v>
      </c>
      <c r="F20" s="782" t="s">
        <v>75</v>
      </c>
      <c r="G20" s="782" t="s">
        <v>75</v>
      </c>
      <c r="H20" s="782" t="s">
        <v>75</v>
      </c>
      <c r="I20" s="782" t="s">
        <v>75</v>
      </c>
      <c r="J20" s="782" t="s">
        <v>75</v>
      </c>
      <c r="K20" s="782" t="s">
        <v>75</v>
      </c>
      <c r="L20" s="782" t="s">
        <v>75</v>
      </c>
      <c r="M20" s="782" t="s">
        <v>75</v>
      </c>
      <c r="N20" s="782" t="s">
        <v>75</v>
      </c>
      <c r="O20" s="782" t="s">
        <v>75</v>
      </c>
      <c r="P20" s="782" t="s">
        <v>75</v>
      </c>
      <c r="Q20" s="782" t="s">
        <v>75</v>
      </c>
      <c r="R20" s="782" t="s">
        <v>75</v>
      </c>
      <c r="S20" s="782" t="s">
        <v>75</v>
      </c>
      <c r="T20" s="782" t="s">
        <v>75</v>
      </c>
      <c r="U20" s="815" t="s">
        <v>75</v>
      </c>
      <c r="V20" s="73" t="s">
        <v>46</v>
      </c>
      <c r="W20" s="493"/>
      <c r="X20" s="807" t="s">
        <v>75</v>
      </c>
    </row>
    <row r="21" spans="2:24" ht="12.75" customHeight="1">
      <c r="B21" s="184" t="s">
        <v>50</v>
      </c>
      <c r="C21" s="710"/>
      <c r="D21" s="711"/>
      <c r="E21" s="711">
        <v>739</v>
      </c>
      <c r="F21" s="711">
        <v>433</v>
      </c>
      <c r="G21" s="711">
        <v>403</v>
      </c>
      <c r="H21" s="711">
        <v>392</v>
      </c>
      <c r="I21" s="711">
        <v>386</v>
      </c>
      <c r="J21" s="711">
        <v>376</v>
      </c>
      <c r="K21" s="789">
        <v>358</v>
      </c>
      <c r="L21" s="711">
        <v>348</v>
      </c>
      <c r="M21" s="711">
        <v>346</v>
      </c>
      <c r="N21" s="711">
        <v>197</v>
      </c>
      <c r="O21" s="711">
        <v>196</v>
      </c>
      <c r="P21" s="711">
        <v>196</v>
      </c>
      <c r="Q21" s="711">
        <v>202</v>
      </c>
      <c r="R21" s="711">
        <v>205</v>
      </c>
      <c r="S21" s="711">
        <f>202+3</f>
        <v>205</v>
      </c>
      <c r="T21" s="711">
        <f>202+3</f>
        <v>205</v>
      </c>
      <c r="U21" s="804">
        <v>204</v>
      </c>
      <c r="V21" s="449" t="s">
        <v>50</v>
      </c>
      <c r="W21" s="493"/>
      <c r="X21" s="516">
        <f t="shared" si="0"/>
        <v>-0.004878048780487809</v>
      </c>
    </row>
    <row r="22" spans="2:24" ht="12.75" customHeight="1">
      <c r="B22" s="497" t="s">
        <v>51</v>
      </c>
      <c r="C22" s="708"/>
      <c r="D22" s="709"/>
      <c r="E22" s="778">
        <v>389</v>
      </c>
      <c r="F22" s="709">
        <v>419</v>
      </c>
      <c r="G22" s="709">
        <v>406</v>
      </c>
      <c r="H22" s="709">
        <v>390</v>
      </c>
      <c r="I22" s="709">
        <v>371</v>
      </c>
      <c r="J22" s="709">
        <v>367</v>
      </c>
      <c r="K22" s="709">
        <v>365</v>
      </c>
      <c r="L22" s="709">
        <v>368</v>
      </c>
      <c r="M22" s="709">
        <v>368</v>
      </c>
      <c r="N22" s="709">
        <v>356</v>
      </c>
      <c r="O22" s="709">
        <v>317</v>
      </c>
      <c r="P22" s="709">
        <v>275</v>
      </c>
      <c r="Q22" s="709">
        <v>290</v>
      </c>
      <c r="R22" s="709">
        <v>262</v>
      </c>
      <c r="S22" s="709">
        <f>264+13</f>
        <v>277</v>
      </c>
      <c r="T22" s="709">
        <f>237+13</f>
        <v>250</v>
      </c>
      <c r="U22" s="801">
        <f>227+13</f>
        <v>240</v>
      </c>
      <c r="V22" s="73" t="s">
        <v>51</v>
      </c>
      <c r="W22" s="493"/>
      <c r="X22" s="516">
        <f t="shared" si="0"/>
        <v>-0.040000000000000036</v>
      </c>
    </row>
    <row r="23" spans="2:24" ht="12.75" customHeight="1">
      <c r="B23" s="184" t="s">
        <v>68</v>
      </c>
      <c r="C23" s="710">
        <v>95</v>
      </c>
      <c r="D23" s="711">
        <v>85</v>
      </c>
      <c r="E23" s="711">
        <v>97</v>
      </c>
      <c r="F23" s="711">
        <v>124</v>
      </c>
      <c r="G23" s="711">
        <v>132</v>
      </c>
      <c r="H23" s="711">
        <v>131</v>
      </c>
      <c r="I23" s="711">
        <v>141</v>
      </c>
      <c r="J23" s="711">
        <v>141</v>
      </c>
      <c r="K23" s="711">
        <v>145</v>
      </c>
      <c r="L23" s="711">
        <v>128</v>
      </c>
      <c r="M23" s="711">
        <v>99</v>
      </c>
      <c r="N23" s="711">
        <v>96</v>
      </c>
      <c r="O23" s="711">
        <v>99</v>
      </c>
      <c r="P23" s="711">
        <v>91</v>
      </c>
      <c r="Q23" s="711">
        <v>89</v>
      </c>
      <c r="R23" s="1011">
        <v>43</v>
      </c>
      <c r="S23" s="790">
        <f>11+32</f>
        <v>43</v>
      </c>
      <c r="T23" s="790">
        <f>11+32</f>
        <v>43</v>
      </c>
      <c r="U23" s="816">
        <f>11+32</f>
        <v>43</v>
      </c>
      <c r="V23" s="449" t="s">
        <v>68</v>
      </c>
      <c r="W23" s="493"/>
      <c r="X23" s="521">
        <f t="shared" si="0"/>
        <v>0</v>
      </c>
    </row>
    <row r="24" spans="2:24" ht="12.75" customHeight="1">
      <c r="B24" s="497" t="s">
        <v>49</v>
      </c>
      <c r="C24" s="708"/>
      <c r="D24" s="709"/>
      <c r="E24" s="709">
        <v>2040</v>
      </c>
      <c r="F24" s="709">
        <v>1453</v>
      </c>
      <c r="G24" s="709">
        <v>1442</v>
      </c>
      <c r="H24" s="709">
        <v>1363</v>
      </c>
      <c r="I24" s="709">
        <v>1458</v>
      </c>
      <c r="J24" s="709">
        <v>1328</v>
      </c>
      <c r="K24" s="785">
        <v>1385</v>
      </c>
      <c r="L24" s="709">
        <v>1400</v>
      </c>
      <c r="M24" s="709">
        <v>1413</v>
      </c>
      <c r="N24" s="709">
        <v>1428</v>
      </c>
      <c r="O24" s="709">
        <v>1458</v>
      </c>
      <c r="P24" s="709">
        <v>1275</v>
      </c>
      <c r="Q24" s="709">
        <v>1282</v>
      </c>
      <c r="R24" s="709">
        <v>1286</v>
      </c>
      <c r="S24" s="709">
        <f>6+4+22+26+443+484+240</f>
        <v>1225</v>
      </c>
      <c r="T24" s="709">
        <f>4+20+436+24+483+15+240+7</f>
        <v>1229</v>
      </c>
      <c r="U24" s="801">
        <f>4+20+434+1+19+482+15+240+10</f>
        <v>1225</v>
      </c>
      <c r="V24" s="73" t="s">
        <v>49</v>
      </c>
      <c r="W24" s="493"/>
      <c r="X24" s="516">
        <f t="shared" si="0"/>
        <v>-0.0032546786004882255</v>
      </c>
    </row>
    <row r="25" spans="2:24" ht="12.75" customHeight="1">
      <c r="B25" s="184" t="s">
        <v>52</v>
      </c>
      <c r="C25" s="791" t="s">
        <v>75</v>
      </c>
      <c r="D25" s="792" t="s">
        <v>75</v>
      </c>
      <c r="E25" s="968" t="s">
        <v>75</v>
      </c>
      <c r="F25" s="968" t="s">
        <v>75</v>
      </c>
      <c r="G25" s="968" t="s">
        <v>75</v>
      </c>
      <c r="H25" s="968" t="s">
        <v>75</v>
      </c>
      <c r="I25" s="968" t="s">
        <v>75</v>
      </c>
      <c r="J25" s="968" t="s">
        <v>75</v>
      </c>
      <c r="K25" s="968" t="s">
        <v>75</v>
      </c>
      <c r="L25" s="968" t="s">
        <v>75</v>
      </c>
      <c r="M25" s="968" t="s">
        <v>75</v>
      </c>
      <c r="N25" s="968" t="s">
        <v>75</v>
      </c>
      <c r="O25" s="968" t="s">
        <v>75</v>
      </c>
      <c r="P25" s="968" t="s">
        <v>75</v>
      </c>
      <c r="Q25" s="968" t="s">
        <v>75</v>
      </c>
      <c r="R25" s="968" t="s">
        <v>75</v>
      </c>
      <c r="S25" s="968" t="s">
        <v>75</v>
      </c>
      <c r="T25" s="968" t="s">
        <v>75</v>
      </c>
      <c r="U25" s="969" t="s">
        <v>75</v>
      </c>
      <c r="V25" s="449" t="s">
        <v>52</v>
      </c>
      <c r="W25" s="493"/>
      <c r="X25" s="807" t="s">
        <v>75</v>
      </c>
    </row>
    <row r="26" spans="2:24" ht="12.75" customHeight="1">
      <c r="B26" s="497" t="s">
        <v>60</v>
      </c>
      <c r="C26" s="708">
        <v>2140</v>
      </c>
      <c r="D26" s="709">
        <v>2174</v>
      </c>
      <c r="E26" s="709">
        <v>2372</v>
      </c>
      <c r="F26" s="709">
        <v>1965</v>
      </c>
      <c r="G26" s="709">
        <v>2128</v>
      </c>
      <c r="H26" s="709">
        <v>2029</v>
      </c>
      <c r="I26" s="709">
        <v>2118</v>
      </c>
      <c r="J26" s="709">
        <v>2076</v>
      </c>
      <c r="K26" s="709">
        <v>2078</v>
      </c>
      <c r="L26" s="709">
        <v>2025</v>
      </c>
      <c r="M26" s="709">
        <v>2033</v>
      </c>
      <c r="N26" s="709">
        <v>2079</v>
      </c>
      <c r="O26" s="709">
        <v>2027</v>
      </c>
      <c r="P26" s="709">
        <v>2411</v>
      </c>
      <c r="Q26" s="709">
        <v>2427</v>
      </c>
      <c r="R26" s="709">
        <v>2443</v>
      </c>
      <c r="S26" s="709">
        <f>43+32+2341</f>
        <v>2416</v>
      </c>
      <c r="T26" s="709">
        <f>46+44+2761</f>
        <v>2851</v>
      </c>
      <c r="U26" s="801">
        <f>51+44+2685</f>
        <v>2780</v>
      </c>
      <c r="V26" s="73" t="s">
        <v>60</v>
      </c>
      <c r="W26" s="493"/>
      <c r="X26" s="516">
        <f t="shared" si="0"/>
        <v>-0.02490354261662575</v>
      </c>
    </row>
    <row r="27" spans="2:24" ht="12.75" customHeight="1">
      <c r="B27" s="184" t="s">
        <v>69</v>
      </c>
      <c r="C27" s="710">
        <v>1423</v>
      </c>
      <c r="D27" s="711">
        <v>1428</v>
      </c>
      <c r="E27" s="711">
        <v>1543</v>
      </c>
      <c r="F27" s="711">
        <v>1530</v>
      </c>
      <c r="G27" s="711">
        <v>1606</v>
      </c>
      <c r="H27" s="711">
        <v>1555</v>
      </c>
      <c r="I27" s="711">
        <v>1556</v>
      </c>
      <c r="J27" s="711">
        <v>1610</v>
      </c>
      <c r="K27" s="711">
        <v>1500</v>
      </c>
      <c r="L27" s="711">
        <v>1639</v>
      </c>
      <c r="M27" s="711">
        <v>1725</v>
      </c>
      <c r="N27" s="711">
        <v>1668</v>
      </c>
      <c r="O27" s="711">
        <v>1660</v>
      </c>
      <c r="P27" s="711">
        <v>1233</v>
      </c>
      <c r="Q27" s="711">
        <v>1240</v>
      </c>
      <c r="R27" s="711">
        <v>1072</v>
      </c>
      <c r="S27" s="711">
        <f>14+26+340+763+152+312</f>
        <v>1607</v>
      </c>
      <c r="T27" s="711">
        <f>327+761+153+307</f>
        <v>1548</v>
      </c>
      <c r="U27" s="804">
        <v>1541</v>
      </c>
      <c r="V27" s="449" t="s">
        <v>69</v>
      </c>
      <c r="W27" s="493"/>
      <c r="X27" s="516">
        <f t="shared" si="0"/>
        <v>-0.004521963824289377</v>
      </c>
    </row>
    <row r="28" spans="2:25" ht="12.75" customHeight="1">
      <c r="B28" s="497" t="s">
        <v>53</v>
      </c>
      <c r="C28" s="708"/>
      <c r="D28" s="709"/>
      <c r="E28" s="709">
        <v>6801</v>
      </c>
      <c r="F28" s="783">
        <v>5293</v>
      </c>
      <c r="G28" s="709">
        <v>5286</v>
      </c>
      <c r="H28" s="709">
        <v>5386</v>
      </c>
      <c r="I28" s="709">
        <v>5479</v>
      </c>
      <c r="J28" s="709">
        <v>5623</v>
      </c>
      <c r="K28" s="709">
        <v>5828</v>
      </c>
      <c r="L28" s="709">
        <v>5579</v>
      </c>
      <c r="M28" s="709">
        <v>5744</v>
      </c>
      <c r="N28" s="709">
        <v>5821</v>
      </c>
      <c r="O28" s="709">
        <v>5770</v>
      </c>
      <c r="P28" s="709">
        <v>5657</v>
      </c>
      <c r="Q28" s="709">
        <v>5637</v>
      </c>
      <c r="R28" s="709">
        <v>5548</v>
      </c>
      <c r="S28" s="709">
        <v>5521</v>
      </c>
      <c r="T28" s="709">
        <v>5615</v>
      </c>
      <c r="U28" s="801">
        <v>5526</v>
      </c>
      <c r="V28" s="73" t="s">
        <v>53</v>
      </c>
      <c r="W28" s="493"/>
      <c r="X28" s="516">
        <f t="shared" si="0"/>
        <v>-0.015850400712377533</v>
      </c>
      <c r="Y28" s="3" t="s">
        <v>200</v>
      </c>
    </row>
    <row r="29" spans="2:24" ht="12.75" customHeight="1">
      <c r="B29" s="184" t="s">
        <v>70</v>
      </c>
      <c r="C29" s="710">
        <v>626</v>
      </c>
      <c r="D29" s="711">
        <v>583</v>
      </c>
      <c r="E29" s="711">
        <v>530</v>
      </c>
      <c r="F29" s="711">
        <v>589</v>
      </c>
      <c r="G29" s="711">
        <v>536</v>
      </c>
      <c r="H29" s="711">
        <v>515</v>
      </c>
      <c r="I29" s="711">
        <v>506</v>
      </c>
      <c r="J29" s="711">
        <v>463</v>
      </c>
      <c r="K29" s="711">
        <v>439</v>
      </c>
      <c r="L29" s="711">
        <v>429</v>
      </c>
      <c r="M29" s="711">
        <v>433</v>
      </c>
      <c r="N29" s="711">
        <v>431</v>
      </c>
      <c r="O29" s="711">
        <v>436</v>
      </c>
      <c r="P29" s="711">
        <v>275</v>
      </c>
      <c r="Q29" s="711">
        <v>433</v>
      </c>
      <c r="R29" s="711">
        <f>199+202</f>
        <v>401</v>
      </c>
      <c r="S29" s="711">
        <f>43+53+42+201+44+34</f>
        <v>417</v>
      </c>
      <c r="T29" s="711">
        <f>43+54+11+201</f>
        <v>309</v>
      </c>
      <c r="U29" s="804">
        <f>13+25+5+188</f>
        <v>231</v>
      </c>
      <c r="V29" s="449" t="s">
        <v>70</v>
      </c>
      <c r="W29" s="493"/>
      <c r="X29" s="516">
        <f t="shared" si="0"/>
        <v>-0.2524271844660194</v>
      </c>
    </row>
    <row r="30" spans="2:24" ht="12.75" customHeight="1">
      <c r="B30" s="497" t="s">
        <v>54</v>
      </c>
      <c r="C30" s="708"/>
      <c r="D30" s="709">
        <v>4564</v>
      </c>
      <c r="E30" s="709">
        <v>4515</v>
      </c>
      <c r="F30" s="709">
        <v>3440</v>
      </c>
      <c r="G30" s="709">
        <v>3341</v>
      </c>
      <c r="H30" s="709">
        <v>3594</v>
      </c>
      <c r="I30" s="709">
        <v>2173</v>
      </c>
      <c r="J30" s="709">
        <v>2071</v>
      </c>
      <c r="K30" s="709">
        <v>2186</v>
      </c>
      <c r="L30" s="709">
        <v>2220</v>
      </c>
      <c r="M30" s="709">
        <v>2262</v>
      </c>
      <c r="N30" s="709">
        <v>2290</v>
      </c>
      <c r="O30" s="709">
        <v>2649</v>
      </c>
      <c r="P30" s="709">
        <v>2229</v>
      </c>
      <c r="Q30" s="709">
        <v>2117</v>
      </c>
      <c r="R30" s="709">
        <v>2280</v>
      </c>
      <c r="S30" s="709">
        <f>441+363+269+34+553+315+104+75+35+22</f>
        <v>2211</v>
      </c>
      <c r="T30" s="709">
        <f>424+553+16+121+4+358+315+10+94+10+99+264+34</f>
        <v>2302</v>
      </c>
      <c r="U30" s="801">
        <f>1157+805+333+34</f>
        <v>2329</v>
      </c>
      <c r="V30" s="73" t="s">
        <v>54</v>
      </c>
      <c r="W30" s="493"/>
      <c r="X30" s="516">
        <f t="shared" si="0"/>
        <v>0.011728931364031192</v>
      </c>
    </row>
    <row r="31" spans="2:24" ht="12.75" customHeight="1">
      <c r="B31" s="184" t="s">
        <v>56</v>
      </c>
      <c r="C31" s="710"/>
      <c r="D31" s="711"/>
      <c r="E31" s="711">
        <v>358</v>
      </c>
      <c r="F31" s="711">
        <v>300</v>
      </c>
      <c r="G31" s="711">
        <v>304</v>
      </c>
      <c r="H31" s="711">
        <v>310</v>
      </c>
      <c r="I31" s="711">
        <v>273</v>
      </c>
      <c r="J31" s="711">
        <v>273</v>
      </c>
      <c r="K31" s="711">
        <v>261</v>
      </c>
      <c r="L31" s="711">
        <v>271</v>
      </c>
      <c r="M31" s="711">
        <v>273</v>
      </c>
      <c r="N31" s="711">
        <v>267</v>
      </c>
      <c r="O31" s="711">
        <v>269</v>
      </c>
      <c r="P31" s="711">
        <v>267</v>
      </c>
      <c r="Q31" s="711">
        <v>405</v>
      </c>
      <c r="R31" s="711">
        <v>405</v>
      </c>
      <c r="S31" s="711">
        <f>74+78+140+113</f>
        <v>405</v>
      </c>
      <c r="T31" s="711">
        <f>74+78+140+113</f>
        <v>405</v>
      </c>
      <c r="U31" s="804">
        <v>401</v>
      </c>
      <c r="V31" s="449" t="s">
        <v>56</v>
      </c>
      <c r="W31" s="493"/>
      <c r="X31" s="516">
        <f t="shared" si="0"/>
        <v>-0.00987654320987652</v>
      </c>
    </row>
    <row r="32" spans="2:24" ht="12.75" customHeight="1">
      <c r="B32" s="497" t="s">
        <v>55</v>
      </c>
      <c r="C32" s="781"/>
      <c r="D32" s="782"/>
      <c r="E32" s="782"/>
      <c r="F32" s="709">
        <v>1570</v>
      </c>
      <c r="G32" s="709">
        <v>1512</v>
      </c>
      <c r="H32" s="709">
        <v>1450</v>
      </c>
      <c r="I32" s="709">
        <v>1441</v>
      </c>
      <c r="J32" s="709">
        <v>1334</v>
      </c>
      <c r="K32" s="778">
        <v>1204</v>
      </c>
      <c r="L32" s="709">
        <v>1176</v>
      </c>
      <c r="M32" s="709">
        <v>1258</v>
      </c>
      <c r="N32" s="709">
        <v>1216</v>
      </c>
      <c r="O32" s="709">
        <v>1155</v>
      </c>
      <c r="P32" s="709">
        <v>1035</v>
      </c>
      <c r="Q32" s="709">
        <v>1101</v>
      </c>
      <c r="R32" s="709">
        <v>1033</v>
      </c>
      <c r="S32" s="709">
        <f>84+165+132+1+309+338</f>
        <v>1029</v>
      </c>
      <c r="T32" s="709">
        <f>86+338+162+299+143+1</f>
        <v>1029</v>
      </c>
      <c r="U32" s="801">
        <v>978</v>
      </c>
      <c r="V32" s="73" t="s">
        <v>55</v>
      </c>
      <c r="W32" s="493"/>
      <c r="X32" s="516">
        <f t="shared" si="0"/>
        <v>-0.04956268221574345</v>
      </c>
    </row>
    <row r="33" spans="2:24" ht="12.75" customHeight="1">
      <c r="B33" s="184" t="s">
        <v>71</v>
      </c>
      <c r="C33" s="710">
        <v>877</v>
      </c>
      <c r="D33" s="711">
        <v>752</v>
      </c>
      <c r="E33" s="711">
        <v>669</v>
      </c>
      <c r="F33" s="711">
        <v>735</v>
      </c>
      <c r="G33" s="711">
        <v>724</v>
      </c>
      <c r="H33" s="711">
        <v>731</v>
      </c>
      <c r="I33" s="711">
        <v>731</v>
      </c>
      <c r="J33" s="711">
        <v>737</v>
      </c>
      <c r="K33" s="711">
        <v>702</v>
      </c>
      <c r="L33" s="711">
        <v>697</v>
      </c>
      <c r="M33" s="711">
        <v>694</v>
      </c>
      <c r="N33" s="711">
        <v>662</v>
      </c>
      <c r="O33" s="711">
        <v>641</v>
      </c>
      <c r="P33" s="711">
        <v>644</v>
      </c>
      <c r="Q33" s="711">
        <v>643</v>
      </c>
      <c r="R33" s="711">
        <v>652</v>
      </c>
      <c r="S33" s="711">
        <f>310+155+16+171</f>
        <v>652</v>
      </c>
      <c r="T33" s="711">
        <f>310+155+16+178</f>
        <v>659</v>
      </c>
      <c r="U33" s="804">
        <v>650</v>
      </c>
      <c r="V33" s="449" t="s">
        <v>71</v>
      </c>
      <c r="W33" s="493"/>
      <c r="X33" s="516">
        <f t="shared" si="0"/>
        <v>-0.01365705614567525</v>
      </c>
    </row>
    <row r="34" spans="2:25" ht="12.75" customHeight="1">
      <c r="B34" s="497" t="s">
        <v>72</v>
      </c>
      <c r="C34" s="708">
        <v>1408</v>
      </c>
      <c r="D34" s="709">
        <v>1576</v>
      </c>
      <c r="E34" s="709">
        <v>1350</v>
      </c>
      <c r="F34" s="709">
        <v>1032</v>
      </c>
      <c r="G34" s="709">
        <v>1121</v>
      </c>
      <c r="H34" s="709">
        <v>1178</v>
      </c>
      <c r="I34" s="778">
        <v>1217</v>
      </c>
      <c r="J34" s="709">
        <v>1231</v>
      </c>
      <c r="K34" s="709">
        <v>1377</v>
      </c>
      <c r="L34" s="709">
        <v>1462</v>
      </c>
      <c r="M34" s="709">
        <v>1694</v>
      </c>
      <c r="N34" s="709">
        <v>1820</v>
      </c>
      <c r="O34" s="709">
        <v>1823</v>
      </c>
      <c r="P34" s="709">
        <v>1927</v>
      </c>
      <c r="Q34" s="709">
        <v>2027</v>
      </c>
      <c r="R34" s="709">
        <v>2285</v>
      </c>
      <c r="S34" s="709">
        <v>2331</v>
      </c>
      <c r="T34" s="709">
        <v>2416</v>
      </c>
      <c r="U34" s="801">
        <v>2422</v>
      </c>
      <c r="V34" s="73" t="s">
        <v>72</v>
      </c>
      <c r="W34" s="493"/>
      <c r="X34" s="516">
        <f t="shared" si="0"/>
        <v>0.002483443708609201</v>
      </c>
      <c r="Y34" s="3" t="s">
        <v>200</v>
      </c>
    </row>
    <row r="35" spans="2:24" ht="12.75" customHeight="1">
      <c r="B35" s="186" t="s">
        <v>61</v>
      </c>
      <c r="C35" s="793">
        <v>9510</v>
      </c>
      <c r="D35" s="794">
        <v>5452</v>
      </c>
      <c r="E35" s="794">
        <v>5610</v>
      </c>
      <c r="F35" s="794" t="s">
        <v>74</v>
      </c>
      <c r="G35" s="794" t="s">
        <v>74</v>
      </c>
      <c r="H35" s="794">
        <v>4430</v>
      </c>
      <c r="I35" s="794">
        <v>3588</v>
      </c>
      <c r="J35" s="794">
        <v>3505</v>
      </c>
      <c r="K35" s="794">
        <v>3177</v>
      </c>
      <c r="L35" s="795">
        <v>3271</v>
      </c>
      <c r="M35" s="794">
        <v>11367</v>
      </c>
      <c r="N35" s="794">
        <v>10639</v>
      </c>
      <c r="O35" s="794">
        <v>10562</v>
      </c>
      <c r="P35" s="794">
        <v>10710</v>
      </c>
      <c r="Q35" s="794">
        <v>11036</v>
      </c>
      <c r="R35" s="794">
        <v>11082</v>
      </c>
      <c r="S35" s="794">
        <f>199+5+45+39+2786+8102</f>
        <v>11176</v>
      </c>
      <c r="T35" s="794">
        <f>199+5+45+2786+129+8183</f>
        <v>11347</v>
      </c>
      <c r="U35" s="1012">
        <f>199+5+45+2786+129+8183</f>
        <v>11347</v>
      </c>
      <c r="V35" s="450" t="s">
        <v>61</v>
      </c>
      <c r="W35" s="493"/>
      <c r="X35" s="516">
        <f t="shared" si="0"/>
        <v>0</v>
      </c>
    </row>
    <row r="36" spans="2:24" ht="12.75" customHeight="1">
      <c r="B36" s="497" t="s">
        <v>221</v>
      </c>
      <c r="C36" s="708"/>
      <c r="D36" s="709"/>
      <c r="E36" s="709"/>
      <c r="F36" s="709"/>
      <c r="G36" s="709"/>
      <c r="H36" s="709"/>
      <c r="I36" s="709"/>
      <c r="J36" s="709"/>
      <c r="K36" s="709"/>
      <c r="L36" s="709"/>
      <c r="M36" s="709"/>
      <c r="N36" s="709"/>
      <c r="O36" s="709"/>
      <c r="P36" s="709"/>
      <c r="Q36" s="709"/>
      <c r="R36" s="709"/>
      <c r="S36" s="709"/>
      <c r="T36" s="709"/>
      <c r="U36" s="801"/>
      <c r="V36" s="73" t="s">
        <v>221</v>
      </c>
      <c r="W36" s="493"/>
      <c r="X36" s="516"/>
    </row>
    <row r="37" spans="2:24" ht="12.75" customHeight="1">
      <c r="B37" s="184" t="s">
        <v>213</v>
      </c>
      <c r="C37" s="710">
        <v>588</v>
      </c>
      <c r="D37" s="711">
        <v>565</v>
      </c>
      <c r="E37" s="555" t="s">
        <v>75</v>
      </c>
      <c r="F37" s="555" t="s">
        <v>75</v>
      </c>
      <c r="G37" s="555" t="s">
        <v>75</v>
      </c>
      <c r="H37" s="555" t="s">
        <v>75</v>
      </c>
      <c r="I37" s="555" t="s">
        <v>75</v>
      </c>
      <c r="J37" s="555" t="s">
        <v>75</v>
      </c>
      <c r="K37" s="555" t="s">
        <v>75</v>
      </c>
      <c r="L37" s="555" t="s">
        <v>75</v>
      </c>
      <c r="M37" s="555" t="s">
        <v>75</v>
      </c>
      <c r="N37" s="555" t="s">
        <v>75</v>
      </c>
      <c r="O37" s="555" t="s">
        <v>75</v>
      </c>
      <c r="P37" s="555" t="s">
        <v>75</v>
      </c>
      <c r="Q37" s="555" t="s">
        <v>75</v>
      </c>
      <c r="R37" s="555" t="s">
        <v>75</v>
      </c>
      <c r="S37" s="555" t="s">
        <v>75</v>
      </c>
      <c r="T37" s="555" t="s">
        <v>75</v>
      </c>
      <c r="U37" s="561" t="s">
        <v>75</v>
      </c>
      <c r="V37" s="449" t="s">
        <v>213</v>
      </c>
      <c r="W37" s="493"/>
      <c r="X37" s="807" t="s">
        <v>75</v>
      </c>
    </row>
    <row r="38" spans="2:25" ht="12.75" customHeight="1">
      <c r="B38" s="497" t="s">
        <v>1</v>
      </c>
      <c r="C38" s="708"/>
      <c r="D38" s="709">
        <v>91</v>
      </c>
      <c r="E38" s="709">
        <v>92</v>
      </c>
      <c r="F38" s="709">
        <v>101</v>
      </c>
      <c r="G38" s="709">
        <v>71</v>
      </c>
      <c r="H38" s="709">
        <v>71</v>
      </c>
      <c r="I38" s="709">
        <v>74</v>
      </c>
      <c r="J38" s="709">
        <v>73</v>
      </c>
      <c r="K38" s="709">
        <v>73</v>
      </c>
      <c r="L38" s="709">
        <v>72</v>
      </c>
      <c r="M38" s="709">
        <v>72</v>
      </c>
      <c r="N38" s="709">
        <v>72</v>
      </c>
      <c r="O38" s="709">
        <v>67</v>
      </c>
      <c r="P38" s="709">
        <v>63</v>
      </c>
      <c r="Q38" s="709">
        <v>63</v>
      </c>
      <c r="R38" s="709">
        <v>69</v>
      </c>
      <c r="S38" s="778">
        <f>27+16+6+4</f>
        <v>53</v>
      </c>
      <c r="T38" s="778">
        <f>27+16+6+4</f>
        <v>53</v>
      </c>
      <c r="U38" s="801">
        <v>53</v>
      </c>
      <c r="V38" s="73" t="s">
        <v>1</v>
      </c>
      <c r="W38" s="493"/>
      <c r="X38" s="521">
        <f t="shared" si="0"/>
        <v>0</v>
      </c>
      <c r="Y38" s="3" t="s">
        <v>200</v>
      </c>
    </row>
    <row r="39" spans="2:24" ht="12.75" customHeight="1">
      <c r="B39" s="184" t="s">
        <v>212</v>
      </c>
      <c r="C39" s="710"/>
      <c r="D39" s="711"/>
      <c r="E39" s="711"/>
      <c r="F39" s="711"/>
      <c r="G39" s="711"/>
      <c r="H39" s="711"/>
      <c r="I39" s="711"/>
      <c r="J39" s="711"/>
      <c r="K39" s="711"/>
      <c r="L39" s="711"/>
      <c r="M39" s="711"/>
      <c r="N39" s="711"/>
      <c r="O39" s="711"/>
      <c r="P39" s="711"/>
      <c r="Q39" s="711">
        <v>466</v>
      </c>
      <c r="R39" s="711">
        <v>485</v>
      </c>
      <c r="S39" s="711">
        <f>193+143+74+77</f>
        <v>487</v>
      </c>
      <c r="T39" s="711">
        <f>191+143+74+77</f>
        <v>485</v>
      </c>
      <c r="U39" s="804">
        <v>335</v>
      </c>
      <c r="V39" s="449" t="s">
        <v>212</v>
      </c>
      <c r="W39" s="493"/>
      <c r="X39" s="516">
        <f t="shared" si="0"/>
        <v>-0.30927835051546393</v>
      </c>
    </row>
    <row r="40" spans="2:24" ht="12.75" customHeight="1">
      <c r="B40" s="498" t="s">
        <v>57</v>
      </c>
      <c r="C40" s="796">
        <v>1055</v>
      </c>
      <c r="D40" s="568">
        <v>1101</v>
      </c>
      <c r="E40" s="568">
        <v>897</v>
      </c>
      <c r="F40" s="713">
        <v>849</v>
      </c>
      <c r="G40" s="713">
        <v>838</v>
      </c>
      <c r="H40" s="713">
        <v>819</v>
      </c>
      <c r="I40" s="713">
        <v>755</v>
      </c>
      <c r="J40" s="713">
        <v>734</v>
      </c>
      <c r="K40" s="713">
        <v>735</v>
      </c>
      <c r="L40" s="713">
        <v>732</v>
      </c>
      <c r="M40" s="713">
        <v>724</v>
      </c>
      <c r="N40" s="713">
        <v>613</v>
      </c>
      <c r="O40" s="713">
        <v>660</v>
      </c>
      <c r="P40" s="713">
        <v>673</v>
      </c>
      <c r="Q40" s="713">
        <v>744</v>
      </c>
      <c r="R40" s="713">
        <v>783</v>
      </c>
      <c r="S40" s="713">
        <f>537+53+77+113</f>
        <v>780</v>
      </c>
      <c r="T40" s="713">
        <f>540+117+80+80</f>
        <v>817</v>
      </c>
      <c r="U40" s="806">
        <v>851</v>
      </c>
      <c r="V40" s="74" t="s">
        <v>57</v>
      </c>
      <c r="W40" s="493"/>
      <c r="X40" s="516">
        <f t="shared" si="0"/>
        <v>0.041615667074663465</v>
      </c>
    </row>
    <row r="41" spans="2:24" ht="12.75" customHeight="1">
      <c r="B41" s="184" t="s">
        <v>43</v>
      </c>
      <c r="C41" s="791" t="s">
        <v>75</v>
      </c>
      <c r="D41" s="792" t="s">
        <v>75</v>
      </c>
      <c r="E41" s="792" t="s">
        <v>75</v>
      </c>
      <c r="F41" s="792" t="s">
        <v>75</v>
      </c>
      <c r="G41" s="792" t="s">
        <v>75</v>
      </c>
      <c r="H41" s="792" t="s">
        <v>75</v>
      </c>
      <c r="I41" s="792" t="s">
        <v>75</v>
      </c>
      <c r="J41" s="792" t="s">
        <v>75</v>
      </c>
      <c r="K41" s="792" t="s">
        <v>75</v>
      </c>
      <c r="L41" s="792" t="s">
        <v>75</v>
      </c>
      <c r="M41" s="792" t="s">
        <v>75</v>
      </c>
      <c r="N41" s="792" t="s">
        <v>75</v>
      </c>
      <c r="O41" s="792" t="s">
        <v>75</v>
      </c>
      <c r="P41" s="792" t="s">
        <v>75</v>
      </c>
      <c r="Q41" s="792" t="s">
        <v>75</v>
      </c>
      <c r="R41" s="792" t="s">
        <v>75</v>
      </c>
      <c r="S41" s="792" t="s">
        <v>75</v>
      </c>
      <c r="T41" s="792" t="s">
        <v>75</v>
      </c>
      <c r="U41" s="817" t="s">
        <v>75</v>
      </c>
      <c r="V41" s="449" t="s">
        <v>43</v>
      </c>
      <c r="W41" s="493"/>
      <c r="X41" s="807" t="s">
        <v>75</v>
      </c>
    </row>
    <row r="42" spans="2:25" ht="14.25" customHeight="1">
      <c r="B42" s="497" t="s">
        <v>73</v>
      </c>
      <c r="C42" s="708">
        <v>439</v>
      </c>
      <c r="D42" s="709">
        <v>430</v>
      </c>
      <c r="E42" s="709">
        <v>502</v>
      </c>
      <c r="F42" s="709">
        <v>299</v>
      </c>
      <c r="G42" s="709">
        <v>303</v>
      </c>
      <c r="H42" s="709">
        <v>269</v>
      </c>
      <c r="I42" s="709">
        <v>266</v>
      </c>
      <c r="J42" s="709">
        <v>208</v>
      </c>
      <c r="K42" s="709">
        <v>289</v>
      </c>
      <c r="L42" s="709">
        <v>223</v>
      </c>
      <c r="M42" s="709">
        <v>223</v>
      </c>
      <c r="N42" s="709">
        <v>223</v>
      </c>
      <c r="O42" s="709">
        <v>207</v>
      </c>
      <c r="P42" s="709">
        <v>544</v>
      </c>
      <c r="Q42" s="709">
        <v>593</v>
      </c>
      <c r="R42" s="709">
        <v>629</v>
      </c>
      <c r="S42" s="709">
        <f>5+28+58+725</f>
        <v>816</v>
      </c>
      <c r="T42" s="709">
        <f>11+28+31+200+398+44</f>
        <v>712</v>
      </c>
      <c r="U42" s="801">
        <v>845</v>
      </c>
      <c r="V42" s="73" t="s">
        <v>73</v>
      </c>
      <c r="W42" s="493"/>
      <c r="X42" s="516">
        <f t="shared" si="0"/>
        <v>0.1867977528089888</v>
      </c>
      <c r="Y42" s="3" t="s">
        <v>266</v>
      </c>
    </row>
    <row r="43" spans="2:24" ht="15" customHeight="1">
      <c r="B43" s="186" t="s">
        <v>44</v>
      </c>
      <c r="C43" s="707">
        <v>1116</v>
      </c>
      <c r="D43" s="565">
        <v>1205</v>
      </c>
      <c r="E43" s="794">
        <v>1254</v>
      </c>
      <c r="F43" s="794">
        <v>1528</v>
      </c>
      <c r="G43" s="794">
        <v>2011</v>
      </c>
      <c r="H43" s="794">
        <v>2008</v>
      </c>
      <c r="I43" s="794">
        <v>2164</v>
      </c>
      <c r="J43" s="794">
        <v>2224</v>
      </c>
      <c r="K43" s="794">
        <v>2198</v>
      </c>
      <c r="L43" s="794">
        <v>2167</v>
      </c>
      <c r="M43" s="794">
        <v>2272</v>
      </c>
      <c r="N43" s="794">
        <v>2278</v>
      </c>
      <c r="O43" s="794">
        <v>2265</v>
      </c>
      <c r="P43" s="794">
        <v>1745</v>
      </c>
      <c r="Q43" s="794">
        <v>1752</v>
      </c>
      <c r="R43" s="794">
        <v>1680</v>
      </c>
      <c r="S43" s="794">
        <f>3+93+120+64+415+786+164</f>
        <v>1645</v>
      </c>
      <c r="T43" s="794">
        <f>3+423+785+93+64+123+141</f>
        <v>1632</v>
      </c>
      <c r="U43" s="805">
        <v>1694</v>
      </c>
      <c r="V43" s="450" t="s">
        <v>44</v>
      </c>
      <c r="W43" s="493"/>
      <c r="X43" s="516">
        <f t="shared" si="0"/>
        <v>0.03799019607843146</v>
      </c>
    </row>
    <row r="44" spans="2:24" ht="11.25" customHeight="1">
      <c r="B44" s="1037" t="s">
        <v>264</v>
      </c>
      <c r="C44" s="1037"/>
      <c r="D44" s="1037"/>
      <c r="E44" s="1037"/>
      <c r="F44" s="1037"/>
      <c r="G44" s="1037"/>
      <c r="H44" s="1037"/>
      <c r="I44" s="1037"/>
      <c r="J44" s="1038"/>
      <c r="K44" s="1038"/>
      <c r="L44" s="1038"/>
      <c r="M44" s="1038"/>
      <c r="N44" s="1038"/>
      <c r="O44" s="1038"/>
      <c r="P44" s="1038"/>
      <c r="Q44" s="1038"/>
      <c r="R44" s="1038"/>
      <c r="S44" s="1039"/>
      <c r="T44" s="1039"/>
      <c r="U44" s="1039"/>
      <c r="V44" s="1038"/>
      <c r="W44" s="493"/>
      <c r="X44" s="493"/>
    </row>
    <row r="45" spans="2:24" ht="12.75">
      <c r="B45" s="511" t="s">
        <v>0</v>
      </c>
      <c r="C45" s="517"/>
      <c r="D45" s="517"/>
      <c r="E45" s="517"/>
      <c r="F45" s="520"/>
      <c r="G45" s="518"/>
      <c r="H45" s="517"/>
      <c r="I45" s="500"/>
      <c r="J45" s="500"/>
      <c r="K45" s="500"/>
      <c r="L45" s="500"/>
      <c r="M45" s="500"/>
      <c r="N45" s="500"/>
      <c r="O45" s="500"/>
      <c r="P45" s="500"/>
      <c r="Q45" s="500"/>
      <c r="R45" s="500"/>
      <c r="S45" s="500"/>
      <c r="T45" s="500"/>
      <c r="U45" s="500"/>
      <c r="V45" s="500"/>
      <c r="W45" s="493"/>
      <c r="X45" s="493"/>
    </row>
    <row r="46" spans="2:24" ht="12.75">
      <c r="B46" s="519" t="s">
        <v>238</v>
      </c>
      <c r="C46" s="517"/>
      <c r="D46" s="517"/>
      <c r="E46" s="517"/>
      <c r="F46" s="520"/>
      <c r="G46" s="518"/>
      <c r="H46" s="517"/>
      <c r="I46" s="500"/>
      <c r="J46" s="500"/>
      <c r="K46" s="500"/>
      <c r="L46" s="500"/>
      <c r="M46" s="500"/>
      <c r="N46" s="500"/>
      <c r="O46" s="500"/>
      <c r="P46" s="500"/>
      <c r="Q46" s="500"/>
      <c r="R46" s="500"/>
      <c r="S46" s="500"/>
      <c r="T46" s="500"/>
      <c r="U46" s="500"/>
      <c r="V46" s="500"/>
      <c r="W46" s="493"/>
      <c r="X46" s="493"/>
    </row>
    <row r="47" spans="2:24" ht="12.75">
      <c r="B47" s="494" t="s">
        <v>267</v>
      </c>
      <c r="C47" s="493"/>
      <c r="D47" s="513"/>
      <c r="E47" s="513"/>
      <c r="F47" s="513"/>
      <c r="G47" s="513"/>
      <c r="H47" s="513"/>
      <c r="I47" s="513"/>
      <c r="J47" s="513"/>
      <c r="K47" s="513"/>
      <c r="L47" s="513"/>
      <c r="M47" s="513"/>
      <c r="N47" s="513"/>
      <c r="O47" s="513"/>
      <c r="P47" s="513"/>
      <c r="Q47" s="513"/>
      <c r="R47" s="513"/>
      <c r="S47" s="753"/>
      <c r="T47" s="957"/>
      <c r="U47" s="1004"/>
      <c r="V47" s="513"/>
      <c r="W47" s="493"/>
      <c r="X47" s="493"/>
    </row>
    <row r="48" spans="2:24" ht="12.75">
      <c r="B48" s="494" t="s">
        <v>268</v>
      </c>
      <c r="C48" s="493"/>
      <c r="D48" s="513"/>
      <c r="E48" s="513"/>
      <c r="F48" s="513"/>
      <c r="G48" s="513"/>
      <c r="H48" s="513"/>
      <c r="I48" s="513"/>
      <c r="J48" s="513"/>
      <c r="K48" s="512"/>
      <c r="L48" s="512"/>
      <c r="M48" s="512"/>
      <c r="N48" s="512"/>
      <c r="O48" s="512"/>
      <c r="P48" s="512"/>
      <c r="Q48" s="512"/>
      <c r="R48" s="512"/>
      <c r="S48" s="512"/>
      <c r="T48" s="512"/>
      <c r="U48" s="512"/>
      <c r="V48" s="512"/>
      <c r="W48" s="493"/>
      <c r="X48" s="493"/>
    </row>
    <row r="51" spans="20:21" ht="11.25">
      <c r="T51" s="3"/>
      <c r="U51" s="3"/>
    </row>
    <row r="52" spans="20:21" ht="11.25">
      <c r="T52" s="3"/>
      <c r="U52" s="3"/>
    </row>
    <row r="53" spans="20:21" ht="11.25">
      <c r="T53" s="3"/>
      <c r="U53" s="3"/>
    </row>
    <row r="54" spans="20:21" ht="11.25">
      <c r="T54" s="3"/>
      <c r="U54" s="3"/>
    </row>
    <row r="55" spans="20:21" ht="11.25">
      <c r="T55" s="3"/>
      <c r="U55" s="3"/>
    </row>
    <row r="56" spans="20:21" ht="11.25">
      <c r="T56" s="3"/>
      <c r="U56" s="3"/>
    </row>
    <row r="57" spans="20:21" ht="11.25">
      <c r="T57" s="3"/>
      <c r="U57" s="3"/>
    </row>
    <row r="58" spans="20:21" ht="11.25">
      <c r="T58" s="3"/>
      <c r="U58" s="3"/>
    </row>
  </sheetData>
  <sheetProtection/>
  <mergeCells count="3">
    <mergeCell ref="B44:V44"/>
    <mergeCell ref="B2:V2"/>
    <mergeCell ref="B3:V3"/>
  </mergeCells>
  <printOptions horizontalCentered="1"/>
  <pageMargins left="0.6692913385826772" right="0.28" top="0.5118110236220472" bottom="0.2755905511811024" header="0" footer="0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43"/>
  <dimension ref="A1:X50"/>
  <sheetViews>
    <sheetView zoomScalePageLayoutView="0" workbookViewId="0" topLeftCell="A1">
      <selection activeCell="AA23" sqref="AA23"/>
    </sheetView>
  </sheetViews>
  <sheetFormatPr defaultColWidth="9.140625" defaultRowHeight="12.75"/>
  <cols>
    <col min="1" max="1" width="3.7109375" style="3" customWidth="1"/>
    <col min="2" max="2" width="4.00390625" style="3" customWidth="1"/>
    <col min="3" max="4" width="7.7109375" style="3" customWidth="1"/>
    <col min="5" max="5" width="7.7109375" style="2" customWidth="1"/>
    <col min="6" max="10" width="7.7109375" style="3" customWidth="1"/>
    <col min="11" max="19" width="8.28125" style="3" customWidth="1"/>
    <col min="20" max="20" width="8.28125" style="903" customWidth="1"/>
    <col min="21" max="21" width="8.28125" style="995" customWidth="1"/>
    <col min="22" max="22" width="6.140625" style="3" customWidth="1"/>
    <col min="23" max="23" width="4.28125" style="903" customWidth="1"/>
    <col min="24" max="24" width="6.8515625" style="3" customWidth="1"/>
    <col min="25" max="16384" width="9.140625" style="3" customWidth="1"/>
  </cols>
  <sheetData>
    <row r="1" spans="1:23" s="14" customFormat="1" ht="14.25" customHeight="1">
      <c r="A1" s="34"/>
      <c r="B1" s="32"/>
      <c r="C1" s="25"/>
      <c r="D1" s="25"/>
      <c r="E1" s="146"/>
      <c r="F1" s="25"/>
      <c r="K1" s="33"/>
      <c r="L1" s="33"/>
      <c r="M1" s="33"/>
      <c r="N1" s="33"/>
      <c r="O1" s="33"/>
      <c r="P1" s="33"/>
      <c r="Q1" s="33"/>
      <c r="R1" s="502"/>
      <c r="S1" s="502"/>
      <c r="T1" s="502"/>
      <c r="U1" s="502"/>
      <c r="V1" s="33" t="s">
        <v>165</v>
      </c>
      <c r="W1" s="502"/>
    </row>
    <row r="2" spans="1:23" s="61" customFormat="1" ht="30" customHeight="1">
      <c r="A2" s="92"/>
      <c r="B2" s="1041" t="s">
        <v>17</v>
      </c>
      <c r="C2" s="1041"/>
      <c r="D2" s="1041"/>
      <c r="E2" s="1041"/>
      <c r="F2" s="1041"/>
      <c r="G2" s="1041"/>
      <c r="H2" s="1041"/>
      <c r="I2" s="1041"/>
      <c r="J2" s="1041"/>
      <c r="K2" s="1041"/>
      <c r="L2" s="1041"/>
      <c r="M2" s="1041"/>
      <c r="N2" s="1041"/>
      <c r="O2" s="1041"/>
      <c r="P2" s="1041"/>
      <c r="Q2" s="1041"/>
      <c r="R2" s="1041"/>
      <c r="S2" s="1041"/>
      <c r="T2" s="1041"/>
      <c r="U2" s="1041"/>
      <c r="V2" s="1041"/>
      <c r="W2" s="956"/>
    </row>
    <row r="3" spans="1:23" s="14" customFormat="1" ht="18" customHeight="1">
      <c r="A3" s="34"/>
      <c r="B3" s="1025" t="s">
        <v>173</v>
      </c>
      <c r="C3" s="1025"/>
      <c r="D3" s="1025"/>
      <c r="E3" s="1025"/>
      <c r="F3" s="1025"/>
      <c r="G3" s="1025"/>
      <c r="H3" s="1025"/>
      <c r="I3" s="1025"/>
      <c r="J3" s="1025"/>
      <c r="K3" s="1025"/>
      <c r="L3" s="1025"/>
      <c r="M3" s="1025"/>
      <c r="N3" s="1025"/>
      <c r="O3" s="1025"/>
      <c r="P3" s="1025"/>
      <c r="Q3" s="1025"/>
      <c r="R3" s="1025"/>
      <c r="S3" s="1025"/>
      <c r="T3" s="1025"/>
      <c r="U3" s="1025"/>
      <c r="V3" s="1025"/>
      <c r="W3" s="955"/>
    </row>
    <row r="4" spans="1:24" ht="24.75" customHeight="1">
      <c r="A4" s="2"/>
      <c r="B4" s="111"/>
      <c r="C4" s="58">
        <v>1970</v>
      </c>
      <c r="D4" s="59">
        <v>1980</v>
      </c>
      <c r="E4" s="59">
        <v>1990</v>
      </c>
      <c r="F4" s="59">
        <v>2000</v>
      </c>
      <c r="G4" s="59">
        <v>2001</v>
      </c>
      <c r="H4" s="59">
        <v>2002</v>
      </c>
      <c r="I4" s="59">
        <v>2003</v>
      </c>
      <c r="J4" s="59">
        <v>2004</v>
      </c>
      <c r="K4" s="59">
        <v>2005</v>
      </c>
      <c r="L4" s="59">
        <v>2006</v>
      </c>
      <c r="M4" s="59">
        <v>2007</v>
      </c>
      <c r="N4" s="59">
        <v>2008</v>
      </c>
      <c r="O4" s="59">
        <v>2009</v>
      </c>
      <c r="P4" s="401">
        <v>2010</v>
      </c>
      <c r="Q4" s="515">
        <v>2011</v>
      </c>
      <c r="R4" s="59">
        <v>2012</v>
      </c>
      <c r="S4" s="59">
        <v>2013</v>
      </c>
      <c r="T4" s="59">
        <v>2014</v>
      </c>
      <c r="U4" s="964">
        <v>2015</v>
      </c>
      <c r="V4" s="6"/>
      <c r="W4" s="495"/>
      <c r="X4" s="522" t="s">
        <v>269</v>
      </c>
    </row>
    <row r="5" spans="1:24" ht="12.75" customHeight="1">
      <c r="A5" s="2"/>
      <c r="B5" s="505" t="s">
        <v>222</v>
      </c>
      <c r="C5" s="699"/>
      <c r="D5" s="656"/>
      <c r="E5" s="655"/>
      <c r="F5" s="655">
        <f>SUM(F8:F35)</f>
        <v>110860.95916224082</v>
      </c>
      <c r="G5" s="655">
        <f>SUM(G8:G35)</f>
        <v>110406</v>
      </c>
      <c r="H5" s="655">
        <f>SUM(H8:H35)</f>
        <v>115536</v>
      </c>
      <c r="I5" s="655">
        <f>SUM(I8:I35)</f>
        <v>108950.5</v>
      </c>
      <c r="J5" s="655">
        <f aca="true" t="shared" si="0" ref="J5:R5">SUM(J8:J35)</f>
        <v>103047</v>
      </c>
      <c r="K5" s="655">
        <f t="shared" si="0"/>
        <v>101768</v>
      </c>
      <c r="L5" s="655">
        <f t="shared" si="0"/>
        <v>99254</v>
      </c>
      <c r="M5" s="808">
        <f t="shared" si="0"/>
        <v>98705</v>
      </c>
      <c r="N5" s="655">
        <f t="shared" si="0"/>
        <v>102105</v>
      </c>
      <c r="O5" s="655">
        <f t="shared" si="0"/>
        <v>104915</v>
      </c>
      <c r="P5" s="655">
        <f t="shared" si="0"/>
        <v>104906</v>
      </c>
      <c r="Q5" s="655">
        <f t="shared" si="0"/>
        <v>100571</v>
      </c>
      <c r="R5" s="767">
        <f t="shared" si="0"/>
        <v>100210</v>
      </c>
      <c r="S5" s="767">
        <f>SUM(S8:S35)</f>
        <v>99428</v>
      </c>
      <c r="T5" s="767">
        <f>SUM(T8:T35)</f>
        <v>102815</v>
      </c>
      <c r="U5" s="797">
        <f>SUM(U8:U35)</f>
        <v>96257</v>
      </c>
      <c r="V5" s="69" t="s">
        <v>222</v>
      </c>
      <c r="W5" s="14"/>
      <c r="X5" s="966">
        <f>U5/T5*100-100</f>
        <v>-6.3784467246997</v>
      </c>
    </row>
    <row r="6" spans="1:24" ht="12.75" customHeight="1">
      <c r="A6" s="8"/>
      <c r="B6" s="503" t="s">
        <v>227</v>
      </c>
      <c r="C6" s="768">
        <f>SUM(C8,C11:C12,C14:C17,C23,C26:C27,C29,C33:C35,C19)</f>
        <v>97726</v>
      </c>
      <c r="D6" s="769">
        <f>SUM(D8,D11:D12,D14:D17,D23,D26:D27,D29,D33:D35,D19)</f>
        <v>95907</v>
      </c>
      <c r="E6" s="769"/>
      <c r="F6" s="772">
        <f>SUM(F8,F11:F12,F14:F17,F23,F26:F27,F29,F33:F35,F19)</f>
        <v>79322.95916224082</v>
      </c>
      <c r="G6" s="772">
        <f>SUM(G8,G11:G12,G14:G17,G23,G26:G27,G29,G33:G35,G19)</f>
        <v>79768</v>
      </c>
      <c r="H6" s="772">
        <f>SUM(H8,H11:H12,H14:H17,H23,H26:H27,H29,H33:H35,H19)</f>
        <v>86289</v>
      </c>
      <c r="I6" s="772">
        <f aca="true" t="shared" si="1" ref="I6:R6">SUM(I8,I11:I12,I14:I17,I23,I26:I27,I29,I33:I35,I19)</f>
        <v>82273.5</v>
      </c>
      <c r="J6" s="772">
        <f t="shared" si="1"/>
        <v>76888</v>
      </c>
      <c r="K6" s="772">
        <f t="shared" si="1"/>
        <v>76396</v>
      </c>
      <c r="L6" s="772">
        <f t="shared" si="1"/>
        <v>74601</v>
      </c>
      <c r="M6" s="809">
        <f t="shared" si="1"/>
        <v>73682</v>
      </c>
      <c r="N6" s="769">
        <f t="shared" si="1"/>
        <v>77891</v>
      </c>
      <c r="O6" s="772">
        <f t="shared" si="1"/>
        <v>81200</v>
      </c>
      <c r="P6" s="772">
        <f t="shared" si="1"/>
        <v>81765</v>
      </c>
      <c r="Q6" s="772">
        <f t="shared" si="1"/>
        <v>78378</v>
      </c>
      <c r="R6" s="772">
        <f t="shared" si="1"/>
        <v>77944</v>
      </c>
      <c r="S6" s="772">
        <f>SUM(S8,S11:S12,S14:S17,S23,S26:S27,S29,S33:S35,S19)</f>
        <v>79000</v>
      </c>
      <c r="T6" s="772">
        <f>SUM(T8,T11:T12,T14:T17,T23,T26:T27,T29,T33:T35,T19)</f>
        <v>82428</v>
      </c>
      <c r="U6" s="798">
        <f>SUM(U8,U11:U12,U14:U17,U23,U26:U27,U29,U33:U35,U19)</f>
        <v>75958</v>
      </c>
      <c r="V6" s="70" t="s">
        <v>227</v>
      </c>
      <c r="W6" s="14"/>
      <c r="X6" s="966">
        <f aca="true" t="shared" si="2" ref="X6:X43">U6/T6*100-100</f>
        <v>-7.849274518367537</v>
      </c>
    </row>
    <row r="7" spans="1:24" ht="12.75" customHeight="1">
      <c r="A7" s="8"/>
      <c r="B7" s="504" t="s">
        <v>231</v>
      </c>
      <c r="C7" s="773"/>
      <c r="D7" s="774"/>
      <c r="E7" s="774"/>
      <c r="F7" s="774">
        <f>F5-F6</f>
        <v>31538</v>
      </c>
      <c r="G7" s="774">
        <f>G5-G6</f>
        <v>30638</v>
      </c>
      <c r="H7" s="774">
        <f>H5-H6</f>
        <v>29247</v>
      </c>
      <c r="I7" s="774">
        <f>I5-I6</f>
        <v>26677</v>
      </c>
      <c r="J7" s="774">
        <f aca="true" t="shared" si="3" ref="J7:R7">J5-J6</f>
        <v>26159</v>
      </c>
      <c r="K7" s="774">
        <f t="shared" si="3"/>
        <v>25372</v>
      </c>
      <c r="L7" s="774">
        <f t="shared" si="3"/>
        <v>24653</v>
      </c>
      <c r="M7" s="774">
        <f t="shared" si="3"/>
        <v>25023</v>
      </c>
      <c r="N7" s="775">
        <f t="shared" si="3"/>
        <v>24214</v>
      </c>
      <c r="O7" s="775">
        <f t="shared" si="3"/>
        <v>23715</v>
      </c>
      <c r="P7" s="775">
        <f t="shared" si="3"/>
        <v>23141</v>
      </c>
      <c r="Q7" s="775">
        <f t="shared" si="3"/>
        <v>22193</v>
      </c>
      <c r="R7" s="775">
        <f t="shared" si="3"/>
        <v>22266</v>
      </c>
      <c r="S7" s="775">
        <f>S5-S6</f>
        <v>20428</v>
      </c>
      <c r="T7" s="775">
        <f>T5-T6</f>
        <v>20387</v>
      </c>
      <c r="U7" s="810">
        <f>U5-U6</f>
        <v>20299</v>
      </c>
      <c r="V7" s="71" t="s">
        <v>231</v>
      </c>
      <c r="W7" s="14"/>
      <c r="X7" s="966">
        <f t="shared" si="2"/>
        <v>-0.4316476185804703</v>
      </c>
    </row>
    <row r="8" spans="1:24" ht="12.75" customHeight="1">
      <c r="A8" s="8"/>
      <c r="B8" s="9" t="s">
        <v>62</v>
      </c>
      <c r="C8" s="811">
        <v>3415</v>
      </c>
      <c r="D8" s="812">
        <v>3609</v>
      </c>
      <c r="E8" s="812">
        <v>3286</v>
      </c>
      <c r="F8" s="812">
        <v>3494</v>
      </c>
      <c r="G8" s="812">
        <v>3462</v>
      </c>
      <c r="H8" s="812">
        <v>3413</v>
      </c>
      <c r="I8" s="812">
        <v>3358</v>
      </c>
      <c r="J8" s="812">
        <v>3292</v>
      </c>
      <c r="K8" s="812">
        <v>3251</v>
      </c>
      <c r="L8" s="812">
        <v>3235</v>
      </c>
      <c r="M8" s="812">
        <v>3275</v>
      </c>
      <c r="N8" s="812">
        <v>3201</v>
      </c>
      <c r="O8" s="812">
        <v>3412</v>
      </c>
      <c r="P8" s="812">
        <v>3412</v>
      </c>
      <c r="Q8" s="812">
        <v>3290</v>
      </c>
      <c r="R8" s="813">
        <v>3290</v>
      </c>
      <c r="S8" s="836">
        <v>2345</v>
      </c>
      <c r="T8" s="813">
        <f>2345</f>
        <v>2345</v>
      </c>
      <c r="U8" s="831">
        <v>2345</v>
      </c>
      <c r="V8" s="72" t="s">
        <v>62</v>
      </c>
      <c r="W8" s="14"/>
      <c r="X8" s="967">
        <f t="shared" si="2"/>
        <v>0</v>
      </c>
    </row>
    <row r="9" spans="1:24" ht="12.75" customHeight="1">
      <c r="A9" s="8"/>
      <c r="B9" s="55" t="s">
        <v>45</v>
      </c>
      <c r="C9" s="779">
        <v>1762</v>
      </c>
      <c r="D9" s="780">
        <v>2441</v>
      </c>
      <c r="E9" s="780">
        <v>2386</v>
      </c>
      <c r="F9" s="780">
        <v>2099</v>
      </c>
      <c r="G9" s="780">
        <v>1935</v>
      </c>
      <c r="H9" s="780">
        <v>1655</v>
      </c>
      <c r="I9" s="780">
        <v>1705</v>
      </c>
      <c r="J9" s="780">
        <f>1680+69</f>
        <v>1749</v>
      </c>
      <c r="K9" s="780">
        <f>1489+69</f>
        <v>1558</v>
      </c>
      <c r="L9" s="780">
        <f>1462+69</f>
        <v>1531</v>
      </c>
      <c r="M9" s="780">
        <f>1483+67</f>
        <v>1550</v>
      </c>
      <c r="N9" s="780">
        <v>1599</v>
      </c>
      <c r="O9" s="780">
        <f>1535+67</f>
        <v>1602</v>
      </c>
      <c r="P9" s="780">
        <v>1369</v>
      </c>
      <c r="Q9" s="780">
        <f>741+1036</f>
        <v>1777</v>
      </c>
      <c r="R9" s="780">
        <f>1036+741</f>
        <v>1777</v>
      </c>
      <c r="S9" s="965">
        <v>744</v>
      </c>
      <c r="T9" s="780">
        <f>729+30</f>
        <v>759</v>
      </c>
      <c r="U9" s="800">
        <v>756</v>
      </c>
      <c r="V9" s="70" t="s">
        <v>45</v>
      </c>
      <c r="W9" s="14"/>
      <c r="X9" s="967">
        <f t="shared" si="2"/>
        <v>-0.3952569169960469</v>
      </c>
    </row>
    <row r="10" spans="1:24" ht="12.75" customHeight="1">
      <c r="A10" s="8"/>
      <c r="B10" s="10" t="s">
        <v>47</v>
      </c>
      <c r="C10" s="781"/>
      <c r="D10" s="782"/>
      <c r="E10" s="782"/>
      <c r="F10" s="709">
        <v>5252</v>
      </c>
      <c r="G10" s="709">
        <v>5223</v>
      </c>
      <c r="H10" s="709">
        <v>5103</v>
      </c>
      <c r="I10" s="709">
        <v>5085</v>
      </c>
      <c r="J10" s="709">
        <v>4985</v>
      </c>
      <c r="K10" s="709">
        <f>4887+8</f>
        <v>4895</v>
      </c>
      <c r="L10" s="709">
        <f>4759+8</f>
        <v>4767</v>
      </c>
      <c r="M10" s="709">
        <f>4558+8</f>
        <v>4566</v>
      </c>
      <c r="N10" s="709">
        <v>4561</v>
      </c>
      <c r="O10" s="709">
        <f>4545+8</f>
        <v>4553</v>
      </c>
      <c r="P10" s="709">
        <v>4514</v>
      </c>
      <c r="Q10" s="709">
        <v>4463</v>
      </c>
      <c r="R10" s="709">
        <v>4419</v>
      </c>
      <c r="S10" s="709">
        <v>4312</v>
      </c>
      <c r="T10" s="709">
        <v>4363</v>
      </c>
      <c r="U10" s="801">
        <v>4139</v>
      </c>
      <c r="V10" s="73" t="s">
        <v>47</v>
      </c>
      <c r="W10" s="14"/>
      <c r="X10" s="967">
        <f t="shared" si="2"/>
        <v>-5.134082053632824</v>
      </c>
    </row>
    <row r="11" spans="1:24" ht="12.75" customHeight="1">
      <c r="A11" s="8"/>
      <c r="B11" s="55" t="s">
        <v>58</v>
      </c>
      <c r="C11" s="779">
        <v>1526</v>
      </c>
      <c r="D11" s="780">
        <v>1613</v>
      </c>
      <c r="E11" s="780">
        <v>1594</v>
      </c>
      <c r="F11" s="780">
        <v>1590</v>
      </c>
      <c r="G11" s="780">
        <v>1573</v>
      </c>
      <c r="H11" s="780">
        <v>1704</v>
      </c>
      <c r="I11" s="780">
        <v>1538</v>
      </c>
      <c r="J11" s="780">
        <v>1525</v>
      </c>
      <c r="K11" s="780">
        <v>1473</v>
      </c>
      <c r="L11" s="780">
        <v>1473</v>
      </c>
      <c r="M11" s="780">
        <v>1473</v>
      </c>
      <c r="N11" s="780">
        <v>1523</v>
      </c>
      <c r="O11" s="780">
        <v>1737</v>
      </c>
      <c r="P11" s="780">
        <v>1307</v>
      </c>
      <c r="Q11" s="780">
        <v>767</v>
      </c>
      <c r="R11" s="780">
        <v>1002</v>
      </c>
      <c r="S11" s="780">
        <v>1983</v>
      </c>
      <c r="T11" s="780">
        <v>2029</v>
      </c>
      <c r="U11" s="800">
        <v>2209</v>
      </c>
      <c r="V11" s="70" t="s">
        <v>58</v>
      </c>
      <c r="W11" s="14"/>
      <c r="X11" s="967">
        <f t="shared" si="2"/>
        <v>8.871365204534243</v>
      </c>
    </row>
    <row r="12" spans="1:24" ht="12.75" customHeight="1">
      <c r="A12" s="8"/>
      <c r="B12" s="10" t="s">
        <v>63</v>
      </c>
      <c r="C12" s="784">
        <v>31506</v>
      </c>
      <c r="D12" s="709">
        <v>29118</v>
      </c>
      <c r="E12" s="709">
        <v>24139</v>
      </c>
      <c r="F12" s="709">
        <v>21097</v>
      </c>
      <c r="G12" s="709">
        <v>21139</v>
      </c>
      <c r="H12" s="709">
        <v>21728</v>
      </c>
      <c r="I12" s="709">
        <f>20916+76</f>
        <v>20992</v>
      </c>
      <c r="J12" s="709">
        <v>20396</v>
      </c>
      <c r="K12" s="709">
        <v>20169</v>
      </c>
      <c r="L12" s="709">
        <v>18174</v>
      </c>
      <c r="M12" s="709">
        <v>17537</v>
      </c>
      <c r="N12" s="709">
        <v>18671</v>
      </c>
      <c r="O12" s="709">
        <v>18607</v>
      </c>
      <c r="P12" s="709">
        <v>18565</v>
      </c>
      <c r="Q12" s="709">
        <v>17849</v>
      </c>
      <c r="R12" s="709">
        <v>17743</v>
      </c>
      <c r="S12" s="709">
        <v>18290</v>
      </c>
      <c r="T12" s="709">
        <v>21217</v>
      </c>
      <c r="U12" s="801">
        <v>18990</v>
      </c>
      <c r="V12" s="73" t="s">
        <v>63</v>
      </c>
      <c r="W12" s="14"/>
      <c r="X12" s="967">
        <f t="shared" si="2"/>
        <v>-10.496300136682848</v>
      </c>
    </row>
    <row r="13" spans="1:24" ht="12.75" customHeight="1">
      <c r="A13" s="8"/>
      <c r="B13" s="55" t="s">
        <v>48</v>
      </c>
      <c r="C13" s="779"/>
      <c r="D13" s="780"/>
      <c r="E13" s="786">
        <v>596</v>
      </c>
      <c r="F13" s="780">
        <v>241</v>
      </c>
      <c r="G13" s="780">
        <v>308</v>
      </c>
      <c r="H13" s="780">
        <v>203</v>
      </c>
      <c r="I13" s="780">
        <v>251</v>
      </c>
      <c r="J13" s="780">
        <v>192</v>
      </c>
      <c r="K13" s="780">
        <v>234</v>
      </c>
      <c r="L13" s="780">
        <v>234</v>
      </c>
      <c r="M13" s="780">
        <v>186</v>
      </c>
      <c r="N13" s="780">
        <v>186</v>
      </c>
      <c r="O13" s="780">
        <v>215</v>
      </c>
      <c r="P13" s="780">
        <v>217</v>
      </c>
      <c r="Q13" s="780">
        <v>217</v>
      </c>
      <c r="R13" s="780">
        <v>253</v>
      </c>
      <c r="S13" s="780">
        <v>267</v>
      </c>
      <c r="T13" s="780">
        <v>280</v>
      </c>
      <c r="U13" s="800">
        <v>280</v>
      </c>
      <c r="V13" s="70" t="s">
        <v>48</v>
      </c>
      <c r="W13" s="14"/>
      <c r="X13" s="967">
        <f t="shared" si="2"/>
        <v>0</v>
      </c>
    </row>
    <row r="14" spans="1:24" ht="12.75" customHeight="1">
      <c r="A14" s="8"/>
      <c r="B14" s="10" t="s">
        <v>66</v>
      </c>
      <c r="C14" s="708">
        <v>484</v>
      </c>
      <c r="D14" s="709">
        <v>348</v>
      </c>
      <c r="E14" s="709">
        <v>314</v>
      </c>
      <c r="F14" s="709">
        <v>421</v>
      </c>
      <c r="G14" s="709">
        <v>418</v>
      </c>
      <c r="H14" s="709">
        <v>419</v>
      </c>
      <c r="I14" s="709">
        <v>405</v>
      </c>
      <c r="J14" s="709">
        <v>554</v>
      </c>
      <c r="K14" s="709">
        <v>581</v>
      </c>
      <c r="L14" s="709">
        <v>581</v>
      </c>
      <c r="M14" s="709">
        <v>581</v>
      </c>
      <c r="N14" s="709">
        <v>649</v>
      </c>
      <c r="O14" s="709">
        <v>592</v>
      </c>
      <c r="P14" s="778">
        <v>592</v>
      </c>
      <c r="Q14" s="778">
        <f>P14</f>
        <v>592</v>
      </c>
      <c r="R14" s="778">
        <v>592</v>
      </c>
      <c r="S14" s="709">
        <v>653</v>
      </c>
      <c r="T14" s="778">
        <v>653</v>
      </c>
      <c r="U14" s="799">
        <v>653</v>
      </c>
      <c r="V14" s="73" t="s">
        <v>66</v>
      </c>
      <c r="W14" s="14"/>
      <c r="X14" s="966">
        <f t="shared" si="2"/>
        <v>0</v>
      </c>
    </row>
    <row r="15" spans="1:24" ht="12.75" customHeight="1">
      <c r="A15" s="8"/>
      <c r="B15" s="55" t="s">
        <v>59</v>
      </c>
      <c r="C15" s="779">
        <v>574</v>
      </c>
      <c r="D15" s="780">
        <v>660</v>
      </c>
      <c r="E15" s="780">
        <v>810</v>
      </c>
      <c r="F15" s="780">
        <v>505</v>
      </c>
      <c r="G15" s="780">
        <v>509</v>
      </c>
      <c r="H15" s="780">
        <v>660</v>
      </c>
      <c r="I15" s="780">
        <v>457</v>
      </c>
      <c r="J15" s="780">
        <f>376+138</f>
        <v>514</v>
      </c>
      <c r="K15" s="780">
        <f>427+137</f>
        <v>564</v>
      </c>
      <c r="L15" s="780">
        <f>509+82</f>
        <v>591</v>
      </c>
      <c r="M15" s="780">
        <f>674+107</f>
        <v>781</v>
      </c>
      <c r="N15" s="780">
        <v>793</v>
      </c>
      <c r="O15" s="780">
        <v>793</v>
      </c>
      <c r="P15" s="780">
        <v>718</v>
      </c>
      <c r="Q15" s="780">
        <v>718</v>
      </c>
      <c r="R15" s="780">
        <v>718</v>
      </c>
      <c r="S15" s="780">
        <v>724</v>
      </c>
      <c r="T15" s="786">
        <v>724</v>
      </c>
      <c r="U15" s="802">
        <v>724</v>
      </c>
      <c r="V15" s="70" t="s">
        <v>59</v>
      </c>
      <c r="W15" s="14"/>
      <c r="X15" s="966">
        <f t="shared" si="2"/>
        <v>0</v>
      </c>
    </row>
    <row r="16" spans="1:24" ht="12.75" customHeight="1">
      <c r="A16" s="8"/>
      <c r="B16" s="10" t="s">
        <v>64</v>
      </c>
      <c r="C16" s="708">
        <v>3904</v>
      </c>
      <c r="D16" s="709">
        <v>3721</v>
      </c>
      <c r="E16" s="709">
        <v>3839</v>
      </c>
      <c r="F16" s="709">
        <v>3765</v>
      </c>
      <c r="G16" s="709">
        <v>4262</v>
      </c>
      <c r="H16" s="709">
        <v>4345</v>
      </c>
      <c r="I16" s="709">
        <f>157+236+151+87+3623+144+10</f>
        <v>4408</v>
      </c>
      <c r="J16" s="709">
        <f>157+238+148+87+3645+188+10</f>
        <v>4473</v>
      </c>
      <c r="K16" s="709">
        <f>157+248+148+108+4192+376+10</f>
        <v>5239</v>
      </c>
      <c r="L16" s="709">
        <f>157+268+148+126+3949+376</f>
        <v>5024</v>
      </c>
      <c r="M16" s="709">
        <f>274+148+126+3858+454</f>
        <v>4860</v>
      </c>
      <c r="N16" s="709">
        <v>5075</v>
      </c>
      <c r="O16" s="709">
        <f>228+257+148+126+4054+440</f>
        <v>5253</v>
      </c>
      <c r="P16" s="709">
        <v>5665</v>
      </c>
      <c r="Q16" s="709">
        <v>5061</v>
      </c>
      <c r="R16" s="709">
        <f>266+279+274+4125</f>
        <v>4944</v>
      </c>
      <c r="S16" s="709">
        <f>279+266+290+4390</f>
        <v>5225</v>
      </c>
      <c r="T16" s="709">
        <f>326+4818+274</f>
        <v>5418</v>
      </c>
      <c r="U16" s="801">
        <v>4336</v>
      </c>
      <c r="V16" s="73" t="s">
        <v>64</v>
      </c>
      <c r="W16" s="14"/>
      <c r="X16" s="967">
        <f t="shared" si="2"/>
        <v>-19.970468807678117</v>
      </c>
    </row>
    <row r="17" spans="1:24" ht="12.75" customHeight="1">
      <c r="A17" s="8"/>
      <c r="B17" s="55" t="s">
        <v>65</v>
      </c>
      <c r="C17" s="779">
        <v>15663</v>
      </c>
      <c r="D17" s="780">
        <v>16032</v>
      </c>
      <c r="E17" s="780">
        <v>15748</v>
      </c>
      <c r="F17" s="780">
        <v>15656</v>
      </c>
      <c r="G17" s="780">
        <v>15650</v>
      </c>
      <c r="H17" s="780">
        <v>15685</v>
      </c>
      <c r="I17" s="780">
        <v>15553</v>
      </c>
      <c r="J17" s="780">
        <v>15630</v>
      </c>
      <c r="K17" s="780">
        <f>15830+49</f>
        <v>15879</v>
      </c>
      <c r="L17" s="780">
        <f>15943+52</f>
        <v>15995</v>
      </c>
      <c r="M17" s="780">
        <f>15808+55</f>
        <v>15863</v>
      </c>
      <c r="N17" s="780">
        <v>16255</v>
      </c>
      <c r="O17" s="780">
        <f>16460+64</f>
        <v>16524</v>
      </c>
      <c r="P17" s="780">
        <v>16890</v>
      </c>
      <c r="Q17" s="780">
        <v>16842</v>
      </c>
      <c r="R17" s="780">
        <v>16626</v>
      </c>
      <c r="S17" s="780">
        <v>17130</v>
      </c>
      <c r="T17" s="780">
        <v>17556</v>
      </c>
      <c r="U17" s="800">
        <v>17335</v>
      </c>
      <c r="V17" s="70" t="s">
        <v>65</v>
      </c>
      <c r="W17" s="14"/>
      <c r="X17" s="967">
        <f t="shared" si="2"/>
        <v>-1.258828890407841</v>
      </c>
    </row>
    <row r="18" spans="1:24" ht="12.75" customHeight="1">
      <c r="A18" s="8"/>
      <c r="B18" s="497" t="s">
        <v>76</v>
      </c>
      <c r="C18" s="708"/>
      <c r="D18" s="709"/>
      <c r="E18" s="709">
        <v>1052</v>
      </c>
      <c r="F18" s="709">
        <v>720</v>
      </c>
      <c r="G18" s="709">
        <v>698</v>
      </c>
      <c r="H18" s="709">
        <v>681</v>
      </c>
      <c r="I18" s="709">
        <v>640</v>
      </c>
      <c r="J18" s="709">
        <v>617</v>
      </c>
      <c r="K18" s="709">
        <v>579</v>
      </c>
      <c r="L18" s="709">
        <v>571</v>
      </c>
      <c r="M18" s="709">
        <v>552</v>
      </c>
      <c r="N18" s="709">
        <v>553</v>
      </c>
      <c r="O18" s="709">
        <v>523</v>
      </c>
      <c r="P18" s="709">
        <v>523</v>
      </c>
      <c r="Q18" s="709">
        <v>519</v>
      </c>
      <c r="R18" s="778">
        <v>519</v>
      </c>
      <c r="S18" s="709">
        <v>541</v>
      </c>
      <c r="T18" s="709">
        <v>529</v>
      </c>
      <c r="U18" s="801">
        <v>545</v>
      </c>
      <c r="V18" s="73" t="s">
        <v>76</v>
      </c>
      <c r="W18" s="14"/>
      <c r="X18" s="966">
        <f t="shared" si="2"/>
        <v>3.024574669187146</v>
      </c>
    </row>
    <row r="19" spans="1:24" ht="12.75" customHeight="1">
      <c r="A19" s="8"/>
      <c r="B19" s="184" t="s">
        <v>67</v>
      </c>
      <c r="C19" s="710">
        <v>11060</v>
      </c>
      <c r="D19" s="711">
        <v>13444</v>
      </c>
      <c r="E19" s="711">
        <v>14025</v>
      </c>
      <c r="F19" s="711">
        <v>11914</v>
      </c>
      <c r="G19" s="711">
        <v>11933</v>
      </c>
      <c r="H19" s="711">
        <v>11007</v>
      </c>
      <c r="I19" s="711">
        <f>10374+439</f>
        <v>10813</v>
      </c>
      <c r="J19" s="711">
        <f>10036+241</f>
        <v>10277</v>
      </c>
      <c r="K19" s="711">
        <f>241+9825</f>
        <v>10066</v>
      </c>
      <c r="L19" s="711">
        <f>425+9993</f>
        <v>10418</v>
      </c>
      <c r="M19" s="711">
        <f>425+9749</f>
        <v>10174</v>
      </c>
      <c r="N19" s="711">
        <v>9825</v>
      </c>
      <c r="O19" s="711">
        <f>543+11931</f>
        <v>12474</v>
      </c>
      <c r="P19" s="711">
        <v>12465</v>
      </c>
      <c r="Q19" s="711">
        <v>10743</v>
      </c>
      <c r="R19" s="711">
        <f>10035+6</f>
        <v>10041</v>
      </c>
      <c r="S19" s="711">
        <v>9510</v>
      </c>
      <c r="T19" s="711">
        <v>9492</v>
      </c>
      <c r="U19" s="1013">
        <v>6479</v>
      </c>
      <c r="V19" s="449" t="s">
        <v>67</v>
      </c>
      <c r="W19" s="14"/>
      <c r="X19" s="967">
        <f t="shared" si="2"/>
        <v>-31.742520016856304</v>
      </c>
    </row>
    <row r="20" spans="1:24" ht="12.75" customHeight="1">
      <c r="A20" s="8"/>
      <c r="B20" s="497" t="s">
        <v>46</v>
      </c>
      <c r="C20" s="781" t="s">
        <v>75</v>
      </c>
      <c r="D20" s="782" t="s">
        <v>75</v>
      </c>
      <c r="E20" s="782" t="s">
        <v>75</v>
      </c>
      <c r="F20" s="782" t="s">
        <v>75</v>
      </c>
      <c r="G20" s="782" t="s">
        <v>75</v>
      </c>
      <c r="H20" s="782" t="s">
        <v>75</v>
      </c>
      <c r="I20" s="782" t="s">
        <v>75</v>
      </c>
      <c r="J20" s="782" t="s">
        <v>75</v>
      </c>
      <c r="K20" s="782" t="s">
        <v>75</v>
      </c>
      <c r="L20" s="782" t="s">
        <v>75</v>
      </c>
      <c r="M20" s="782" t="s">
        <v>75</v>
      </c>
      <c r="N20" s="782" t="s">
        <v>75</v>
      </c>
      <c r="O20" s="782" t="s">
        <v>75</v>
      </c>
      <c r="P20" s="782" t="s">
        <v>75</v>
      </c>
      <c r="Q20" s="782" t="s">
        <v>75</v>
      </c>
      <c r="R20" s="782" t="s">
        <v>75</v>
      </c>
      <c r="S20" s="782" t="s">
        <v>75</v>
      </c>
      <c r="T20" s="782" t="s">
        <v>75</v>
      </c>
      <c r="U20" s="815" t="s">
        <v>75</v>
      </c>
      <c r="V20" s="73" t="s">
        <v>46</v>
      </c>
      <c r="W20" s="14"/>
      <c r="X20" s="970" t="s">
        <v>75</v>
      </c>
    </row>
    <row r="21" spans="1:24" ht="12.75" customHeight="1">
      <c r="A21" s="8"/>
      <c r="B21" s="184" t="s">
        <v>50</v>
      </c>
      <c r="C21" s="710"/>
      <c r="D21" s="711"/>
      <c r="E21" s="711">
        <v>1226</v>
      </c>
      <c r="F21" s="711">
        <v>702</v>
      </c>
      <c r="G21" s="711">
        <v>621</v>
      </c>
      <c r="H21" s="711">
        <v>597</v>
      </c>
      <c r="I21" s="711">
        <v>579</v>
      </c>
      <c r="J21" s="711">
        <v>535</v>
      </c>
      <c r="K21" s="711">
        <v>490</v>
      </c>
      <c r="L21" s="711">
        <v>490</v>
      </c>
      <c r="M21" s="711">
        <v>491</v>
      </c>
      <c r="N21" s="711">
        <v>451</v>
      </c>
      <c r="O21" s="711">
        <v>294</v>
      </c>
      <c r="P21" s="711">
        <v>238</v>
      </c>
      <c r="Q21" s="711">
        <v>238</v>
      </c>
      <c r="R21" s="711">
        <v>238</v>
      </c>
      <c r="S21" s="711">
        <v>238</v>
      </c>
      <c r="T21" s="711">
        <v>238</v>
      </c>
      <c r="U21" s="804">
        <v>374</v>
      </c>
      <c r="V21" s="449" t="s">
        <v>50</v>
      </c>
      <c r="W21" s="14"/>
      <c r="X21" s="966">
        <f t="shared" si="2"/>
        <v>57.14285714285714</v>
      </c>
    </row>
    <row r="22" spans="1:24" ht="12.75" customHeight="1">
      <c r="A22" s="8"/>
      <c r="B22" s="497" t="s">
        <v>51</v>
      </c>
      <c r="C22" s="708"/>
      <c r="D22" s="709"/>
      <c r="E22" s="778">
        <v>664</v>
      </c>
      <c r="F22" s="709">
        <v>563</v>
      </c>
      <c r="G22" s="709">
        <v>537</v>
      </c>
      <c r="H22" s="709">
        <v>509</v>
      </c>
      <c r="I22" s="709">
        <v>480</v>
      </c>
      <c r="J22" s="709">
        <v>475</v>
      </c>
      <c r="K22" s="709">
        <v>467</v>
      </c>
      <c r="L22" s="709">
        <v>458</v>
      </c>
      <c r="M22" s="709">
        <v>423</v>
      </c>
      <c r="N22" s="709">
        <v>363</v>
      </c>
      <c r="O22" s="709">
        <v>340</v>
      </c>
      <c r="P22" s="709">
        <v>337</v>
      </c>
      <c r="Q22" s="709">
        <v>268</v>
      </c>
      <c r="R22" s="709">
        <v>262</v>
      </c>
      <c r="S22" s="709">
        <v>264</v>
      </c>
      <c r="T22" s="709">
        <v>234</v>
      </c>
      <c r="U22" s="801">
        <v>217</v>
      </c>
      <c r="V22" s="73" t="s">
        <v>51</v>
      </c>
      <c r="W22" s="14"/>
      <c r="X22" s="967">
        <f t="shared" si="2"/>
        <v>-7.2649572649572605</v>
      </c>
    </row>
    <row r="23" spans="1:24" ht="12.75" customHeight="1">
      <c r="A23" s="8"/>
      <c r="B23" s="184" t="s">
        <v>68</v>
      </c>
      <c r="C23" s="710">
        <v>114</v>
      </c>
      <c r="D23" s="711">
        <v>102</v>
      </c>
      <c r="E23" s="711">
        <v>114</v>
      </c>
      <c r="F23" s="711">
        <v>149</v>
      </c>
      <c r="G23" s="711">
        <v>152</v>
      </c>
      <c r="H23" s="711">
        <v>150</v>
      </c>
      <c r="I23" s="711">
        <v>150</v>
      </c>
      <c r="J23" s="711">
        <v>212</v>
      </c>
      <c r="K23" s="711">
        <v>185</v>
      </c>
      <c r="L23" s="711">
        <v>191</v>
      </c>
      <c r="M23" s="711">
        <v>191</v>
      </c>
      <c r="N23" s="711">
        <v>187</v>
      </c>
      <c r="O23" s="711">
        <v>187</v>
      </c>
      <c r="P23" s="711">
        <v>214</v>
      </c>
      <c r="Q23" s="711">
        <v>210</v>
      </c>
      <c r="R23" s="711">
        <v>210</v>
      </c>
      <c r="S23" s="790">
        <v>210</v>
      </c>
      <c r="T23" s="790">
        <v>210</v>
      </c>
      <c r="U23" s="816">
        <v>210</v>
      </c>
      <c r="V23" s="449" t="s">
        <v>68</v>
      </c>
      <c r="W23" s="14"/>
      <c r="X23" s="966">
        <f t="shared" si="2"/>
        <v>0</v>
      </c>
    </row>
    <row r="24" spans="1:24" ht="12.75" customHeight="1">
      <c r="A24" s="8"/>
      <c r="B24" s="497" t="s">
        <v>49</v>
      </c>
      <c r="C24" s="708"/>
      <c r="D24" s="709"/>
      <c r="E24" s="709">
        <v>4385</v>
      </c>
      <c r="F24" s="709">
        <v>3232</v>
      </c>
      <c r="G24" s="709">
        <v>3142</v>
      </c>
      <c r="H24" s="709">
        <v>3376</v>
      </c>
      <c r="I24" s="709">
        <f>52+2882+81</f>
        <v>3015</v>
      </c>
      <c r="J24" s="709">
        <f>65+3249+82</f>
        <v>3396</v>
      </c>
      <c r="K24" s="709">
        <f>2646+76+65</f>
        <v>2787</v>
      </c>
      <c r="L24" s="709">
        <f>65+2657+75</f>
        <v>2797</v>
      </c>
      <c r="M24" s="709">
        <f>65+2520+787</f>
        <v>3372</v>
      </c>
      <c r="N24" s="709">
        <v>3253</v>
      </c>
      <c r="O24" s="709">
        <f>82+2198+791</f>
        <v>3071</v>
      </c>
      <c r="P24" s="709">
        <v>3136</v>
      </c>
      <c r="Q24" s="709">
        <v>2931</v>
      </c>
      <c r="R24" s="709">
        <f>108+2978</f>
        <v>3086</v>
      </c>
      <c r="S24" s="709">
        <f>108+2350</f>
        <v>2458</v>
      </c>
      <c r="T24" s="709">
        <f>2396+103</f>
        <v>2499</v>
      </c>
      <c r="U24" s="801">
        <v>2495</v>
      </c>
      <c r="V24" s="73" t="s">
        <v>49</v>
      </c>
      <c r="W24" s="14"/>
      <c r="X24" s="967">
        <f t="shared" si="2"/>
        <v>-0.16006402561023947</v>
      </c>
    </row>
    <row r="25" spans="1:24" ht="12.75" customHeight="1">
      <c r="A25" s="8"/>
      <c r="B25" s="184" t="s">
        <v>52</v>
      </c>
      <c r="C25" s="791" t="s">
        <v>75</v>
      </c>
      <c r="D25" s="792" t="s">
        <v>75</v>
      </c>
      <c r="E25" s="792" t="s">
        <v>75</v>
      </c>
      <c r="F25" s="792" t="s">
        <v>75</v>
      </c>
      <c r="G25" s="792" t="s">
        <v>75</v>
      </c>
      <c r="H25" s="792" t="s">
        <v>75</v>
      </c>
      <c r="I25" s="792" t="s">
        <v>75</v>
      </c>
      <c r="J25" s="792" t="s">
        <v>75</v>
      </c>
      <c r="K25" s="792" t="s">
        <v>75</v>
      </c>
      <c r="L25" s="792" t="s">
        <v>75</v>
      </c>
      <c r="M25" s="792" t="s">
        <v>75</v>
      </c>
      <c r="N25" s="792" t="s">
        <v>75</v>
      </c>
      <c r="O25" s="792" t="s">
        <v>75</v>
      </c>
      <c r="P25" s="792" t="s">
        <v>75</v>
      </c>
      <c r="Q25" s="792" t="s">
        <v>75</v>
      </c>
      <c r="R25" s="792" t="s">
        <v>75</v>
      </c>
      <c r="S25" s="792" t="s">
        <v>75</v>
      </c>
      <c r="T25" s="792" t="s">
        <v>75</v>
      </c>
      <c r="U25" s="817" t="s">
        <v>75</v>
      </c>
      <c r="V25" s="449" t="s">
        <v>52</v>
      </c>
      <c r="W25" s="14"/>
      <c r="X25" s="970" t="s">
        <v>75</v>
      </c>
    </row>
    <row r="26" spans="1:24" ht="12.75" customHeight="1">
      <c r="A26" s="8"/>
      <c r="B26" s="497" t="s">
        <v>60</v>
      </c>
      <c r="C26" s="708">
        <v>1919</v>
      </c>
      <c r="D26" s="709">
        <v>1958</v>
      </c>
      <c r="E26" s="709">
        <v>2268</v>
      </c>
      <c r="F26" s="709">
        <v>2742</v>
      </c>
      <c r="G26" s="709">
        <v>2742</v>
      </c>
      <c r="H26" s="709">
        <v>2693</v>
      </c>
      <c r="I26" s="818">
        <v>2758</v>
      </c>
      <c r="J26" s="709">
        <v>833</v>
      </c>
      <c r="K26" s="709">
        <v>852</v>
      </c>
      <c r="L26" s="709">
        <v>870</v>
      </c>
      <c r="M26" s="785">
        <v>833</v>
      </c>
      <c r="N26" s="709">
        <v>2818</v>
      </c>
      <c r="O26" s="709">
        <v>2531</v>
      </c>
      <c r="P26" s="709">
        <v>2824</v>
      </c>
      <c r="Q26" s="709">
        <v>2854</v>
      </c>
      <c r="R26" s="709">
        <v>2948</v>
      </c>
      <c r="S26" s="709">
        <v>2895</v>
      </c>
      <c r="T26" s="709">
        <v>2849</v>
      </c>
      <c r="U26" s="801">
        <v>2791</v>
      </c>
      <c r="V26" s="73" t="s">
        <v>60</v>
      </c>
      <c r="W26" s="14"/>
      <c r="X26" s="967">
        <f t="shared" si="2"/>
        <v>-2.0358020358020354</v>
      </c>
    </row>
    <row r="27" spans="1:24" ht="12.75" customHeight="1">
      <c r="A27" s="8"/>
      <c r="B27" s="184" t="s">
        <v>69</v>
      </c>
      <c r="C27" s="710">
        <v>4125</v>
      </c>
      <c r="D27" s="711">
        <v>4025</v>
      </c>
      <c r="E27" s="711">
        <v>3689</v>
      </c>
      <c r="F27" s="711">
        <v>3468</v>
      </c>
      <c r="G27" s="711">
        <v>3332</v>
      </c>
      <c r="H27" s="711">
        <v>3320</v>
      </c>
      <c r="I27" s="711">
        <f>21+3017+111+26</f>
        <v>3175</v>
      </c>
      <c r="J27" s="711">
        <f>24+2938+140</f>
        <v>3102</v>
      </c>
      <c r="K27" s="711">
        <f>24+2949+139</f>
        <v>3112</v>
      </c>
      <c r="L27" s="711">
        <f>24+3016</f>
        <v>3040</v>
      </c>
      <c r="M27" s="711">
        <f>24+2954</f>
        <v>2978</v>
      </c>
      <c r="N27" s="711">
        <v>3010</v>
      </c>
      <c r="O27" s="711">
        <f>24+2871+100</f>
        <v>2995</v>
      </c>
      <c r="P27" s="711">
        <v>2974</v>
      </c>
      <c r="Q27" s="711">
        <v>2860</v>
      </c>
      <c r="R27" s="711">
        <v>2839</v>
      </c>
      <c r="S27" s="711">
        <f>2819+24</f>
        <v>2843</v>
      </c>
      <c r="T27" s="711">
        <f>1964+700</f>
        <v>2664</v>
      </c>
      <c r="U27" s="804">
        <f>2623+23</f>
        <v>2646</v>
      </c>
      <c r="V27" s="449" t="s">
        <v>69</v>
      </c>
      <c r="W27" s="14"/>
      <c r="X27" s="967">
        <f t="shared" si="2"/>
        <v>-0.6756756756756772</v>
      </c>
    </row>
    <row r="28" spans="1:24" ht="12.75" customHeight="1">
      <c r="A28" s="8"/>
      <c r="B28" s="497" t="s">
        <v>53</v>
      </c>
      <c r="C28" s="708">
        <v>8522</v>
      </c>
      <c r="D28" s="709">
        <v>7493</v>
      </c>
      <c r="E28" s="709">
        <v>11928</v>
      </c>
      <c r="F28" s="709">
        <v>9761</v>
      </c>
      <c r="G28" s="709">
        <v>9544</v>
      </c>
      <c r="H28" s="709">
        <v>8985</v>
      </c>
      <c r="I28" s="709">
        <v>8877</v>
      </c>
      <c r="J28" s="709">
        <v>8603</v>
      </c>
      <c r="K28" s="709">
        <v>8843</v>
      </c>
      <c r="L28" s="709">
        <v>8298</v>
      </c>
      <c r="M28" s="709">
        <v>8277</v>
      </c>
      <c r="N28" s="709">
        <v>7863</v>
      </c>
      <c r="O28" s="709">
        <v>7799</v>
      </c>
      <c r="P28" s="709">
        <v>7885</v>
      </c>
      <c r="Q28" s="709">
        <v>7797</v>
      </c>
      <c r="R28" s="709">
        <v>7330</v>
      </c>
      <c r="S28" s="709">
        <v>7478</v>
      </c>
      <c r="T28" s="709">
        <v>7406</v>
      </c>
      <c r="U28" s="801">
        <v>7409</v>
      </c>
      <c r="V28" s="73" t="s">
        <v>53</v>
      </c>
      <c r="W28" s="14"/>
      <c r="X28" s="967">
        <f t="shared" si="2"/>
        <v>0.04050769646232766</v>
      </c>
    </row>
    <row r="29" spans="1:24" ht="12.75" customHeight="1">
      <c r="A29" s="8"/>
      <c r="B29" s="184" t="s">
        <v>70</v>
      </c>
      <c r="C29" s="710">
        <v>980</v>
      </c>
      <c r="D29" s="711">
        <v>1137</v>
      </c>
      <c r="E29" s="711">
        <v>1232</v>
      </c>
      <c r="F29" s="711">
        <v>1303</v>
      </c>
      <c r="G29" s="711">
        <v>1313</v>
      </c>
      <c r="H29" s="560">
        <f>AVERAGE(G29,I29)</f>
        <v>1258</v>
      </c>
      <c r="I29" s="711">
        <f>1184+19</f>
        <v>1203</v>
      </c>
      <c r="J29" s="711">
        <f>1131+19</f>
        <v>1150</v>
      </c>
      <c r="K29" s="711">
        <f>1106+19</f>
        <v>1125</v>
      </c>
      <c r="L29" s="711">
        <f>1043+19</f>
        <v>1062</v>
      </c>
      <c r="M29" s="711">
        <f>1041+19</f>
        <v>1060</v>
      </c>
      <c r="N29" s="711">
        <v>1051</v>
      </c>
      <c r="O29" s="711">
        <f>1024+19</f>
        <v>1043</v>
      </c>
      <c r="P29" s="711">
        <v>965</v>
      </c>
      <c r="Q29" s="711">
        <v>953</v>
      </c>
      <c r="R29" s="711">
        <v>980</v>
      </c>
      <c r="S29" s="711">
        <v>973</v>
      </c>
      <c r="T29" s="711">
        <v>980</v>
      </c>
      <c r="U29" s="804">
        <v>977</v>
      </c>
      <c r="V29" s="449" t="s">
        <v>70</v>
      </c>
      <c r="W29" s="14"/>
      <c r="X29" s="967">
        <f t="shared" si="2"/>
        <v>-0.3061224489795933</v>
      </c>
    </row>
    <row r="30" spans="1:24" ht="12.75" customHeight="1">
      <c r="A30" s="8"/>
      <c r="B30" s="497" t="s">
        <v>54</v>
      </c>
      <c r="C30" s="708"/>
      <c r="D30" s="709">
        <v>5579</v>
      </c>
      <c r="E30" s="709">
        <v>6352</v>
      </c>
      <c r="F30" s="709">
        <v>6234</v>
      </c>
      <c r="G30" s="709">
        <v>6245</v>
      </c>
      <c r="H30" s="818">
        <v>5467</v>
      </c>
      <c r="I30" s="709">
        <v>3629</v>
      </c>
      <c r="J30" s="709">
        <v>3407</v>
      </c>
      <c r="K30" s="709">
        <v>3310</v>
      </c>
      <c r="L30" s="709">
        <v>3380</v>
      </c>
      <c r="M30" s="709">
        <v>3462</v>
      </c>
      <c r="N30" s="709">
        <v>3314</v>
      </c>
      <c r="O30" s="709">
        <f>3306+6</f>
        <v>3312</v>
      </c>
      <c r="P30" s="709">
        <v>3037</v>
      </c>
      <c r="Q30" s="709">
        <v>2059</v>
      </c>
      <c r="R30" s="709">
        <v>2511</v>
      </c>
      <c r="S30" s="709">
        <v>2304</v>
      </c>
      <c r="T30" s="709">
        <f>2290+39</f>
        <v>2329</v>
      </c>
      <c r="U30" s="801">
        <v>2329</v>
      </c>
      <c r="V30" s="73" t="s">
        <v>54</v>
      </c>
      <c r="W30" s="14"/>
      <c r="X30" s="967">
        <f t="shared" si="2"/>
        <v>0</v>
      </c>
    </row>
    <row r="31" spans="1:24" ht="12.75" customHeight="1">
      <c r="A31" s="8"/>
      <c r="B31" s="184" t="s">
        <v>56</v>
      </c>
      <c r="C31" s="710"/>
      <c r="D31" s="711"/>
      <c r="E31" s="711">
        <v>606</v>
      </c>
      <c r="F31" s="711">
        <v>461</v>
      </c>
      <c r="G31" s="711">
        <v>470</v>
      </c>
      <c r="H31" s="711">
        <v>482</v>
      </c>
      <c r="I31" s="711">
        <v>432</v>
      </c>
      <c r="J31" s="711">
        <v>403</v>
      </c>
      <c r="K31" s="711">
        <v>401</v>
      </c>
      <c r="L31" s="711">
        <v>400</v>
      </c>
      <c r="M31" s="711">
        <v>373</v>
      </c>
      <c r="N31" s="711">
        <v>362</v>
      </c>
      <c r="O31" s="711">
        <v>360</v>
      </c>
      <c r="P31" s="711">
        <v>355</v>
      </c>
      <c r="Q31" s="711">
        <v>355</v>
      </c>
      <c r="R31" s="711">
        <v>355</v>
      </c>
      <c r="S31" s="711">
        <v>355</v>
      </c>
      <c r="T31" s="711">
        <v>355</v>
      </c>
      <c r="U31" s="804">
        <v>349</v>
      </c>
      <c r="V31" s="449" t="s">
        <v>56</v>
      </c>
      <c r="W31" s="14"/>
      <c r="X31" s="967">
        <f t="shared" si="2"/>
        <v>-1.6901408450704167</v>
      </c>
    </row>
    <row r="32" spans="1:24" ht="12.75" customHeight="1">
      <c r="A32" s="8"/>
      <c r="B32" s="497" t="s">
        <v>55</v>
      </c>
      <c r="C32" s="781"/>
      <c r="D32" s="782"/>
      <c r="E32" s="782"/>
      <c r="F32" s="709">
        <v>2273</v>
      </c>
      <c r="G32" s="709">
        <v>1915</v>
      </c>
      <c r="H32" s="709">
        <v>2189</v>
      </c>
      <c r="I32" s="709">
        <f>1939+45</f>
        <v>1984</v>
      </c>
      <c r="J32" s="709">
        <f>1768+27+2</f>
        <v>1797</v>
      </c>
      <c r="K32" s="709">
        <f>1782+26</f>
        <v>1808</v>
      </c>
      <c r="L32" s="709">
        <f>1671+56</f>
        <v>1727</v>
      </c>
      <c r="M32" s="709">
        <f>1713+58</f>
        <v>1771</v>
      </c>
      <c r="N32" s="709">
        <v>1709</v>
      </c>
      <c r="O32" s="709">
        <f>1586+60</f>
        <v>1646</v>
      </c>
      <c r="P32" s="709">
        <v>1530</v>
      </c>
      <c r="Q32" s="709">
        <v>1569</v>
      </c>
      <c r="R32" s="709">
        <v>1516</v>
      </c>
      <c r="S32" s="709">
        <v>1467</v>
      </c>
      <c r="T32" s="709">
        <v>1395</v>
      </c>
      <c r="U32" s="801">
        <v>1406</v>
      </c>
      <c r="V32" s="73" t="s">
        <v>55</v>
      </c>
      <c r="W32" s="14"/>
      <c r="X32" s="967">
        <f t="shared" si="2"/>
        <v>0.7885304659498189</v>
      </c>
    </row>
    <row r="33" spans="1:24" ht="12.75" customHeight="1">
      <c r="A33" s="8"/>
      <c r="B33" s="184" t="s">
        <v>71</v>
      </c>
      <c r="C33" s="710">
        <v>1032</v>
      </c>
      <c r="D33" s="711">
        <v>1100</v>
      </c>
      <c r="E33" s="711">
        <v>957</v>
      </c>
      <c r="F33" s="711">
        <v>1003</v>
      </c>
      <c r="G33" s="711">
        <v>1011</v>
      </c>
      <c r="H33" s="711">
        <v>1030</v>
      </c>
      <c r="I33" s="711">
        <v>1060</v>
      </c>
      <c r="J33" s="711">
        <v>1029</v>
      </c>
      <c r="K33" s="711">
        <v>1084</v>
      </c>
      <c r="L33" s="711">
        <v>1083</v>
      </c>
      <c r="M33" s="711">
        <v>1024</v>
      </c>
      <c r="N33" s="711">
        <v>1035</v>
      </c>
      <c r="O33" s="711">
        <v>1033</v>
      </c>
      <c r="P33" s="711">
        <v>1071</v>
      </c>
      <c r="Q33" s="711">
        <v>1102</v>
      </c>
      <c r="R33" s="711">
        <v>1131</v>
      </c>
      <c r="S33" s="711">
        <v>1163</v>
      </c>
      <c r="T33" s="711">
        <v>1181</v>
      </c>
      <c r="U33" s="804">
        <v>1101</v>
      </c>
      <c r="V33" s="449" t="s">
        <v>71</v>
      </c>
      <c r="W33" s="14"/>
      <c r="X33" s="967">
        <f t="shared" si="2"/>
        <v>-6.773920406435224</v>
      </c>
    </row>
    <row r="34" spans="1:24" ht="12.75" customHeight="1">
      <c r="A34" s="8"/>
      <c r="B34" s="497" t="s">
        <v>72</v>
      </c>
      <c r="C34" s="708">
        <v>2746</v>
      </c>
      <c r="D34" s="709">
        <v>1998</v>
      </c>
      <c r="E34" s="709">
        <v>1747</v>
      </c>
      <c r="F34" s="709">
        <v>1748</v>
      </c>
      <c r="G34" s="778">
        <v>1847</v>
      </c>
      <c r="H34" s="709">
        <v>1895</v>
      </c>
      <c r="I34" s="709">
        <v>1841</v>
      </c>
      <c r="J34" s="709">
        <v>1758</v>
      </c>
      <c r="K34" s="709">
        <v>1882</v>
      </c>
      <c r="L34" s="709">
        <v>1930</v>
      </c>
      <c r="M34" s="709">
        <v>2156</v>
      </c>
      <c r="N34" s="709">
        <v>2283</v>
      </c>
      <c r="O34" s="709">
        <v>2268</v>
      </c>
      <c r="P34" s="709">
        <v>2352</v>
      </c>
      <c r="Q34" s="709">
        <v>2393</v>
      </c>
      <c r="R34" s="709">
        <v>2646</v>
      </c>
      <c r="S34" s="709">
        <v>2715</v>
      </c>
      <c r="T34" s="709">
        <v>2806</v>
      </c>
      <c r="U34" s="801">
        <v>2858</v>
      </c>
      <c r="V34" s="73" t="s">
        <v>72</v>
      </c>
      <c r="W34" s="14"/>
      <c r="X34" s="967">
        <f t="shared" si="2"/>
        <v>1.8531717747683558</v>
      </c>
    </row>
    <row r="35" spans="1:24" ht="12.75" customHeight="1">
      <c r="A35" s="8"/>
      <c r="B35" s="277" t="s">
        <v>61</v>
      </c>
      <c r="C35" s="819">
        <v>18678</v>
      </c>
      <c r="D35" s="820">
        <v>17042</v>
      </c>
      <c r="E35" s="821"/>
      <c r="F35" s="822">
        <f>G35*(SUM(F8:F34)/SUM(G8:G34))</f>
        <v>10467.959162240824</v>
      </c>
      <c r="G35" s="794">
        <v>10425</v>
      </c>
      <c r="H35" s="794">
        <v>16982</v>
      </c>
      <c r="I35" s="822">
        <f>AVERAGE(H35,J35)</f>
        <v>14562.5</v>
      </c>
      <c r="J35" s="794">
        <f>12017+18+108</f>
        <v>12143</v>
      </c>
      <c r="K35" s="794">
        <f>10776+18+140</f>
        <v>10934</v>
      </c>
      <c r="L35" s="794">
        <f>10776+18+140</f>
        <v>10934</v>
      </c>
      <c r="M35" s="794">
        <f>10756+140</f>
        <v>10896</v>
      </c>
      <c r="N35" s="794">
        <v>11515</v>
      </c>
      <c r="O35" s="794">
        <f>11413+198+140</f>
        <v>11751</v>
      </c>
      <c r="P35" s="794">
        <v>11751</v>
      </c>
      <c r="Q35" s="794">
        <v>12144</v>
      </c>
      <c r="R35" s="794">
        <f>12101+133</f>
        <v>12234</v>
      </c>
      <c r="S35" s="794">
        <f>12208+133</f>
        <v>12341</v>
      </c>
      <c r="T35" s="794">
        <f>12286+18</f>
        <v>12304</v>
      </c>
      <c r="U35" s="1012">
        <v>12304</v>
      </c>
      <c r="V35" s="450" t="s">
        <v>61</v>
      </c>
      <c r="W35" s="14"/>
      <c r="X35" s="967">
        <f t="shared" si="2"/>
        <v>0</v>
      </c>
    </row>
    <row r="36" spans="1:24" ht="12.75" customHeight="1">
      <c r="A36" s="8"/>
      <c r="B36" s="470" t="s">
        <v>221</v>
      </c>
      <c r="C36" s="823"/>
      <c r="D36" s="823"/>
      <c r="E36" s="824"/>
      <c r="F36" s="778"/>
      <c r="G36" s="709"/>
      <c r="H36" s="709"/>
      <c r="I36" s="778"/>
      <c r="J36" s="709"/>
      <c r="K36" s="709"/>
      <c r="L36" s="709"/>
      <c r="M36" s="709"/>
      <c r="N36" s="709"/>
      <c r="O36" s="709"/>
      <c r="P36" s="709"/>
      <c r="Q36" s="709"/>
      <c r="R36" s="709"/>
      <c r="S36" s="709"/>
      <c r="T36" s="709"/>
      <c r="U36" s="801"/>
      <c r="V36" s="73" t="s">
        <v>221</v>
      </c>
      <c r="W36" s="14"/>
      <c r="X36" s="967"/>
    </row>
    <row r="37" spans="1:24" ht="12.75" customHeight="1">
      <c r="A37" s="8"/>
      <c r="B37" s="184" t="s">
        <v>213</v>
      </c>
      <c r="C37" s="710"/>
      <c r="D37" s="711"/>
      <c r="E37" s="555" t="s">
        <v>75</v>
      </c>
      <c r="F37" s="555" t="s">
        <v>75</v>
      </c>
      <c r="G37" s="555" t="s">
        <v>75</v>
      </c>
      <c r="H37" s="555" t="s">
        <v>75</v>
      </c>
      <c r="I37" s="555" t="s">
        <v>75</v>
      </c>
      <c r="J37" s="555" t="s">
        <v>75</v>
      </c>
      <c r="K37" s="555" t="s">
        <v>75</v>
      </c>
      <c r="L37" s="555" t="s">
        <v>75</v>
      </c>
      <c r="M37" s="555" t="s">
        <v>75</v>
      </c>
      <c r="N37" s="555" t="s">
        <v>75</v>
      </c>
      <c r="O37" s="555" t="s">
        <v>75</v>
      </c>
      <c r="P37" s="555" t="s">
        <v>75</v>
      </c>
      <c r="Q37" s="555" t="s">
        <v>75</v>
      </c>
      <c r="R37" s="555" t="s">
        <v>75</v>
      </c>
      <c r="S37" s="555" t="s">
        <v>75</v>
      </c>
      <c r="T37" s="555" t="s">
        <v>75</v>
      </c>
      <c r="U37" s="561" t="s">
        <v>75</v>
      </c>
      <c r="V37" s="449" t="s">
        <v>213</v>
      </c>
      <c r="W37" s="14"/>
      <c r="X37" s="970" t="s">
        <v>75</v>
      </c>
    </row>
    <row r="38" spans="1:24" ht="12.75" customHeight="1">
      <c r="A38" s="8"/>
      <c r="B38" s="497" t="s">
        <v>1</v>
      </c>
      <c r="C38" s="708"/>
      <c r="D38" s="709">
        <v>180</v>
      </c>
      <c r="E38" s="709">
        <v>175</v>
      </c>
      <c r="F38" s="709">
        <v>164</v>
      </c>
      <c r="G38" s="709">
        <v>139</v>
      </c>
      <c r="H38" s="709">
        <v>139</v>
      </c>
      <c r="I38" s="709">
        <v>137</v>
      </c>
      <c r="J38" s="709">
        <v>135</v>
      </c>
      <c r="K38" s="709">
        <v>125</v>
      </c>
      <c r="L38" s="709">
        <v>124</v>
      </c>
      <c r="M38" s="709">
        <v>124</v>
      </c>
      <c r="N38" s="709">
        <v>124</v>
      </c>
      <c r="O38" s="709">
        <v>110</v>
      </c>
      <c r="P38" s="709">
        <v>64</v>
      </c>
      <c r="Q38" s="709">
        <v>64</v>
      </c>
      <c r="R38" s="709">
        <v>68</v>
      </c>
      <c r="S38" s="778">
        <v>68</v>
      </c>
      <c r="T38" s="778">
        <v>68</v>
      </c>
      <c r="U38" s="801">
        <v>67</v>
      </c>
      <c r="V38" s="73" t="s">
        <v>1</v>
      </c>
      <c r="W38" s="14"/>
      <c r="X38" s="966">
        <f t="shared" si="2"/>
        <v>-1.470588235294116</v>
      </c>
    </row>
    <row r="39" spans="1:24" ht="12.75" customHeight="1">
      <c r="A39" s="8"/>
      <c r="B39" s="184" t="s">
        <v>212</v>
      </c>
      <c r="C39" s="710"/>
      <c r="D39" s="711"/>
      <c r="E39" s="711"/>
      <c r="F39" s="711"/>
      <c r="G39" s="711"/>
      <c r="H39" s="711"/>
      <c r="I39" s="711"/>
      <c r="J39" s="711"/>
      <c r="K39" s="711"/>
      <c r="L39" s="711"/>
      <c r="M39" s="711"/>
      <c r="N39" s="711"/>
      <c r="O39" s="711"/>
      <c r="P39" s="711"/>
      <c r="Q39" s="711">
        <v>784</v>
      </c>
      <c r="R39" s="711">
        <v>767</v>
      </c>
      <c r="S39" s="711">
        <v>769</v>
      </c>
      <c r="T39" s="711">
        <v>732</v>
      </c>
      <c r="U39" s="804">
        <v>882</v>
      </c>
      <c r="V39" s="449" t="s">
        <v>212</v>
      </c>
      <c r="W39" s="14"/>
      <c r="X39" s="967">
        <f t="shared" si="2"/>
        <v>20.491803278688508</v>
      </c>
    </row>
    <row r="40" spans="1:24" ht="12.75" customHeight="1">
      <c r="A40" s="8"/>
      <c r="B40" s="498" t="s">
        <v>57</v>
      </c>
      <c r="C40" s="796">
        <v>1548</v>
      </c>
      <c r="D40" s="568">
        <v>1351</v>
      </c>
      <c r="E40" s="568">
        <v>1443</v>
      </c>
      <c r="F40" s="713">
        <v>1415</v>
      </c>
      <c r="G40" s="713">
        <v>1385</v>
      </c>
      <c r="H40" s="713">
        <v>1356</v>
      </c>
      <c r="I40" s="713">
        <v>1294</v>
      </c>
      <c r="J40" s="713">
        <v>1318</v>
      </c>
      <c r="K40" s="713">
        <v>1312</v>
      </c>
      <c r="L40" s="713">
        <v>1306</v>
      </c>
      <c r="M40" s="713">
        <v>1319</v>
      </c>
      <c r="N40" s="713">
        <v>1304</v>
      </c>
      <c r="O40" s="713">
        <v>1313</v>
      </c>
      <c r="P40" s="713">
        <v>1342</v>
      </c>
      <c r="Q40" s="713">
        <v>1347</v>
      </c>
      <c r="R40" s="713">
        <f>1365</f>
        <v>1365</v>
      </c>
      <c r="S40" s="713">
        <v>1381</v>
      </c>
      <c r="T40" s="713">
        <v>1307</v>
      </c>
      <c r="U40" s="806">
        <v>1467</v>
      </c>
      <c r="V40" s="74" t="s">
        <v>57</v>
      </c>
      <c r="W40" s="14"/>
      <c r="X40" s="967">
        <f t="shared" si="2"/>
        <v>12.241775057383336</v>
      </c>
    </row>
    <row r="41" spans="1:24" ht="12.75" customHeight="1">
      <c r="A41" s="8"/>
      <c r="B41" s="182" t="s">
        <v>43</v>
      </c>
      <c r="C41" s="791" t="s">
        <v>75</v>
      </c>
      <c r="D41" s="792" t="s">
        <v>75</v>
      </c>
      <c r="E41" s="792" t="s">
        <v>75</v>
      </c>
      <c r="F41" s="792" t="s">
        <v>75</v>
      </c>
      <c r="G41" s="792" t="s">
        <v>75</v>
      </c>
      <c r="H41" s="792" t="s">
        <v>75</v>
      </c>
      <c r="I41" s="792" t="s">
        <v>75</v>
      </c>
      <c r="J41" s="792" t="s">
        <v>75</v>
      </c>
      <c r="K41" s="792" t="s">
        <v>75</v>
      </c>
      <c r="L41" s="792" t="s">
        <v>75</v>
      </c>
      <c r="M41" s="792" t="s">
        <v>75</v>
      </c>
      <c r="N41" s="792" t="s">
        <v>75</v>
      </c>
      <c r="O41" s="792" t="s">
        <v>75</v>
      </c>
      <c r="P41" s="792" t="s">
        <v>75</v>
      </c>
      <c r="Q41" s="792" t="s">
        <v>75</v>
      </c>
      <c r="R41" s="792" t="s">
        <v>75</v>
      </c>
      <c r="S41" s="792" t="s">
        <v>75</v>
      </c>
      <c r="T41" s="792" t="s">
        <v>75</v>
      </c>
      <c r="U41" s="817" t="s">
        <v>75</v>
      </c>
      <c r="V41" s="542" t="s">
        <v>43</v>
      </c>
      <c r="W41" s="14"/>
      <c r="X41" s="970" t="s">
        <v>75</v>
      </c>
    </row>
    <row r="42" spans="1:24" ht="12.75" customHeight="1">
      <c r="A42" s="8"/>
      <c r="B42" s="497" t="s">
        <v>73</v>
      </c>
      <c r="C42" s="708">
        <v>1067</v>
      </c>
      <c r="D42" s="709">
        <v>908</v>
      </c>
      <c r="E42" s="709">
        <v>900</v>
      </c>
      <c r="F42" s="709">
        <v>918</v>
      </c>
      <c r="G42" s="709">
        <v>942</v>
      </c>
      <c r="H42" s="709">
        <v>850</v>
      </c>
      <c r="I42" s="825">
        <v>231</v>
      </c>
      <c r="J42" s="554">
        <v>237</v>
      </c>
      <c r="K42" s="554">
        <v>191</v>
      </c>
      <c r="L42" s="554">
        <v>191</v>
      </c>
      <c r="M42" s="554">
        <v>191</v>
      </c>
      <c r="N42" s="554">
        <v>191</v>
      </c>
      <c r="O42" s="554">
        <v>191</v>
      </c>
      <c r="P42" s="554">
        <v>210</v>
      </c>
      <c r="Q42" s="554">
        <v>212</v>
      </c>
      <c r="R42" s="554">
        <v>209</v>
      </c>
      <c r="S42" s="554">
        <v>175</v>
      </c>
      <c r="T42" s="554">
        <v>383</v>
      </c>
      <c r="U42" s="562">
        <v>384</v>
      </c>
      <c r="V42" s="73" t="s">
        <v>73</v>
      </c>
      <c r="W42" s="14"/>
      <c r="X42" s="967">
        <f t="shared" si="2"/>
        <v>0.26109660574411464</v>
      </c>
    </row>
    <row r="43" spans="1:24" ht="12.75" customHeight="1">
      <c r="A43" s="8"/>
      <c r="B43" s="186" t="s">
        <v>44</v>
      </c>
      <c r="C43" s="707">
        <v>3816</v>
      </c>
      <c r="D43" s="565">
        <v>4006</v>
      </c>
      <c r="E43" s="794">
        <v>4136</v>
      </c>
      <c r="F43" s="794">
        <v>3333</v>
      </c>
      <c r="G43" s="794">
        <v>3925</v>
      </c>
      <c r="H43" s="794">
        <v>4020</v>
      </c>
      <c r="I43" s="794">
        <f>231+3764+81</f>
        <v>4076</v>
      </c>
      <c r="J43" s="794">
        <f>263+91+3924+81</f>
        <v>4359</v>
      </c>
      <c r="K43" s="794">
        <f>251+81+150+3811</f>
        <v>4293</v>
      </c>
      <c r="L43" s="794">
        <f>333+4130</f>
        <v>4463</v>
      </c>
      <c r="M43" s="822">
        <v>4491</v>
      </c>
      <c r="N43" s="794">
        <v>4470</v>
      </c>
      <c r="O43" s="794">
        <f>489+3794+187</f>
        <v>4470</v>
      </c>
      <c r="P43" s="794">
        <v>4949</v>
      </c>
      <c r="Q43" s="794">
        <v>4822</v>
      </c>
      <c r="R43" s="794">
        <f>4571+340</f>
        <v>4911</v>
      </c>
      <c r="S43" s="794">
        <f>333+4664</f>
        <v>4997</v>
      </c>
      <c r="T43" s="794">
        <f>4593+272</f>
        <v>4865</v>
      </c>
      <c r="U43" s="805">
        <v>5245</v>
      </c>
      <c r="V43" s="450" t="s">
        <v>44</v>
      </c>
      <c r="W43" s="14"/>
      <c r="X43" s="967">
        <f t="shared" si="2"/>
        <v>7.81089414182938</v>
      </c>
    </row>
    <row r="44" spans="2:24" ht="27.75" customHeight="1">
      <c r="B44" s="1037" t="s">
        <v>271</v>
      </c>
      <c r="C44" s="1037"/>
      <c r="D44" s="1037"/>
      <c r="E44" s="1037"/>
      <c r="F44" s="1037"/>
      <c r="G44" s="1037"/>
      <c r="H44" s="1037"/>
      <c r="I44" s="1037"/>
      <c r="J44" s="1037"/>
      <c r="K44" s="1038"/>
      <c r="L44" s="1038"/>
      <c r="M44" s="1038"/>
      <c r="N44" s="1038"/>
      <c r="O44" s="1038"/>
      <c r="P44" s="1038"/>
      <c r="Q44" s="1038"/>
      <c r="R44" s="1038"/>
      <c r="S44" s="1039"/>
      <c r="T44" s="1039"/>
      <c r="U44" s="1039"/>
      <c r="V44" s="1038"/>
      <c r="W44" s="541"/>
      <c r="X44" s="43"/>
    </row>
    <row r="45" spans="2:24" ht="15" customHeight="1">
      <c r="B45" s="387" t="s">
        <v>0</v>
      </c>
      <c r="C45" s="402"/>
      <c r="D45" s="402"/>
      <c r="E45" s="402"/>
      <c r="F45" s="402"/>
      <c r="G45" s="402"/>
      <c r="H45" s="402"/>
      <c r="X45" s="43"/>
    </row>
    <row r="46" spans="2:24" ht="10.5" customHeight="1">
      <c r="B46" s="1115" t="s">
        <v>105</v>
      </c>
      <c r="C46" s="1116"/>
      <c r="D46" s="1116"/>
      <c r="E46" s="1116"/>
      <c r="F46" s="1116"/>
      <c r="G46" s="1116"/>
      <c r="H46" s="1116"/>
      <c r="I46" s="1116"/>
      <c r="J46" s="1116"/>
      <c r="K46" s="1116"/>
      <c r="L46" s="1116"/>
      <c r="M46" s="1116"/>
      <c r="N46" s="1116"/>
      <c r="O46" s="1116"/>
      <c r="P46" s="1116"/>
      <c r="Q46" s="1116"/>
      <c r="R46" s="1116"/>
      <c r="S46" s="1116"/>
      <c r="T46" s="1116"/>
      <c r="U46" s="1116"/>
      <c r="V46" s="1116"/>
      <c r="W46" s="958"/>
      <c r="X46" s="43"/>
    </row>
    <row r="47" spans="2:24" ht="12.75">
      <c r="B47" s="389" t="s">
        <v>195</v>
      </c>
      <c r="C47" s="61"/>
      <c r="D47" s="400"/>
      <c r="E47" s="400"/>
      <c r="F47" s="400"/>
      <c r="G47" s="400"/>
      <c r="H47" s="400"/>
      <c r="I47" s="400"/>
      <c r="J47" s="404"/>
      <c r="K47" s="404"/>
      <c r="L47" s="404"/>
      <c r="M47" s="404"/>
      <c r="N47" s="404"/>
      <c r="O47" s="404"/>
      <c r="P47" s="404"/>
      <c r="Q47" s="404"/>
      <c r="R47" s="404"/>
      <c r="S47" s="404"/>
      <c r="T47" s="404"/>
      <c r="U47" s="404"/>
      <c r="V47" s="404"/>
      <c r="W47" s="404"/>
      <c r="X47" s="43"/>
    </row>
    <row r="48" spans="2:24" ht="12.75">
      <c r="B48" s="389" t="s">
        <v>196</v>
      </c>
      <c r="C48" s="61"/>
      <c r="D48" s="389"/>
      <c r="E48" s="405"/>
      <c r="F48" s="389"/>
      <c r="G48" s="389"/>
      <c r="H48" s="389"/>
      <c r="I48" s="389"/>
      <c r="J48" s="44"/>
      <c r="K48" s="44"/>
      <c r="L48" s="44"/>
      <c r="M48" s="44"/>
      <c r="N48" s="44"/>
      <c r="O48" s="44"/>
      <c r="P48" s="433"/>
      <c r="Q48" s="44"/>
      <c r="R48" s="492"/>
      <c r="S48" s="754"/>
      <c r="T48" s="958"/>
      <c r="U48" s="1005"/>
      <c r="V48" s="44"/>
      <c r="W48" s="958"/>
      <c r="X48" s="43"/>
    </row>
    <row r="50" spans="2:19" ht="12.75">
      <c r="B50" s="988"/>
      <c r="C50" s="988"/>
      <c r="D50" s="988"/>
      <c r="E50" s="988"/>
      <c r="F50" s="988"/>
      <c r="G50" s="988"/>
      <c r="H50" s="988"/>
      <c r="I50" s="988"/>
      <c r="J50" s="988"/>
      <c r="K50" s="988"/>
      <c r="L50" s="988"/>
      <c r="M50" s="988"/>
      <c r="N50" s="988"/>
      <c r="O50" s="988"/>
      <c r="P50" s="988"/>
      <c r="Q50" s="988"/>
      <c r="R50" s="988"/>
      <c r="S50" s="988"/>
    </row>
  </sheetData>
  <sheetProtection/>
  <mergeCells count="4">
    <mergeCell ref="B2:V2"/>
    <mergeCell ref="B3:V3"/>
    <mergeCell ref="B44:V44"/>
    <mergeCell ref="B46:V46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41"/>
  <dimension ref="A1:Y51"/>
  <sheetViews>
    <sheetView tabSelected="1" zoomScalePageLayoutView="0" workbookViewId="0" topLeftCell="A1">
      <selection activeCell="W44" sqref="W44"/>
    </sheetView>
  </sheetViews>
  <sheetFormatPr defaultColWidth="9.140625" defaultRowHeight="12.75"/>
  <cols>
    <col min="1" max="1" width="3.7109375" style="3" customWidth="1"/>
    <col min="2" max="2" width="4.00390625" style="3" customWidth="1"/>
    <col min="3" max="4" width="7.7109375" style="3" hidden="1" customWidth="1"/>
    <col min="5" max="10" width="7.7109375" style="3" customWidth="1"/>
    <col min="11" max="13" width="8.28125" style="2" customWidth="1"/>
    <col min="14" max="19" width="8.28125" style="3" customWidth="1"/>
    <col min="20" max="20" width="8.28125" style="903" customWidth="1"/>
    <col min="21" max="21" width="8.28125" style="995" customWidth="1"/>
    <col min="22" max="22" width="5.140625" style="3" customWidth="1"/>
    <col min="23" max="16384" width="9.140625" style="3" customWidth="1"/>
  </cols>
  <sheetData>
    <row r="1" spans="2:22" ht="14.25" customHeight="1">
      <c r="B1" s="32"/>
      <c r="C1" s="18"/>
      <c r="D1" s="18"/>
      <c r="E1" s="18"/>
      <c r="F1" s="18"/>
      <c r="G1" s="18"/>
      <c r="H1" s="33"/>
      <c r="K1" s="406"/>
      <c r="L1" s="406"/>
      <c r="M1" s="406"/>
      <c r="N1" s="33"/>
      <c r="O1" s="33"/>
      <c r="P1" s="33"/>
      <c r="Q1" s="33"/>
      <c r="R1" s="502"/>
      <c r="S1" s="502"/>
      <c r="T1" s="502"/>
      <c r="U1" s="502"/>
      <c r="V1" s="33" t="s">
        <v>166</v>
      </c>
    </row>
    <row r="2" spans="2:22" s="61" customFormat="1" ht="30" customHeight="1">
      <c r="B2" s="1024" t="s">
        <v>18</v>
      </c>
      <c r="C2" s="1024"/>
      <c r="D2" s="1024"/>
      <c r="E2" s="1024"/>
      <c r="F2" s="1024"/>
      <c r="G2" s="1024"/>
      <c r="H2" s="1024"/>
      <c r="I2" s="1024"/>
      <c r="J2" s="1024"/>
      <c r="K2" s="1024"/>
      <c r="L2" s="1024"/>
      <c r="M2" s="1024"/>
      <c r="N2" s="1024"/>
      <c r="O2" s="1024"/>
      <c r="P2" s="1024"/>
      <c r="Q2" s="1024"/>
      <c r="R2" s="1024"/>
      <c r="S2" s="1024"/>
      <c r="T2" s="1024"/>
      <c r="U2" s="1024"/>
      <c r="V2" s="1024"/>
    </row>
    <row r="3" spans="2:22" ht="18" customHeight="1">
      <c r="B3" s="1029" t="s">
        <v>12</v>
      </c>
      <c r="C3" s="1029"/>
      <c r="D3" s="1029"/>
      <c r="E3" s="1029"/>
      <c r="F3" s="1029"/>
      <c r="G3" s="1029"/>
      <c r="H3" s="1029"/>
      <c r="I3" s="1029"/>
      <c r="J3" s="1029"/>
      <c r="K3" s="1029"/>
      <c r="L3" s="1029"/>
      <c r="M3" s="1029"/>
      <c r="N3" s="1029"/>
      <c r="O3" s="1029"/>
      <c r="P3" s="1029"/>
      <c r="Q3" s="1029"/>
      <c r="R3" s="1029"/>
      <c r="S3" s="1029"/>
      <c r="T3" s="1029"/>
      <c r="U3" s="1029"/>
      <c r="V3" s="1029"/>
    </row>
    <row r="4" spans="2:22" ht="24.75" customHeight="1">
      <c r="B4" s="111"/>
      <c r="C4" s="58">
        <v>1970</v>
      </c>
      <c r="D4" s="59">
        <v>1980</v>
      </c>
      <c r="E4" s="59">
        <v>1990</v>
      </c>
      <c r="F4" s="59">
        <v>2000</v>
      </c>
      <c r="G4" s="59">
        <v>2001</v>
      </c>
      <c r="H4" s="59">
        <v>2002</v>
      </c>
      <c r="I4" s="59">
        <v>2003</v>
      </c>
      <c r="J4" s="59">
        <v>2004</v>
      </c>
      <c r="K4" s="60">
        <v>2005</v>
      </c>
      <c r="L4" s="59">
        <v>2006</v>
      </c>
      <c r="M4" s="59" t="s">
        <v>111</v>
      </c>
      <c r="N4" s="59" t="s">
        <v>137</v>
      </c>
      <c r="O4" s="59" t="s">
        <v>174</v>
      </c>
      <c r="P4" s="59" t="s">
        <v>197</v>
      </c>
      <c r="Q4" s="59" t="s">
        <v>209</v>
      </c>
      <c r="R4" s="59" t="s">
        <v>220</v>
      </c>
      <c r="S4" s="59" t="s">
        <v>239</v>
      </c>
      <c r="T4" s="1010" t="s">
        <v>252</v>
      </c>
      <c r="U4" s="964" t="s">
        <v>270</v>
      </c>
      <c r="V4" s="6"/>
    </row>
    <row r="5" spans="2:22" ht="12.75" customHeight="1">
      <c r="B5" s="57" t="s">
        <v>222</v>
      </c>
      <c r="C5" s="75"/>
      <c r="D5" s="76"/>
      <c r="E5" s="656"/>
      <c r="F5" s="656"/>
      <c r="G5" s="655">
        <f>SUM(G8:G35)</f>
        <v>887017</v>
      </c>
      <c r="H5" s="655">
        <f>SUM(H8:H35)</f>
        <v>853740</v>
      </c>
      <c r="I5" s="655"/>
      <c r="J5" s="655"/>
      <c r="K5" s="797"/>
      <c r="L5" s="655"/>
      <c r="M5" s="655"/>
      <c r="N5" s="655"/>
      <c r="O5" s="655"/>
      <c r="P5" s="655"/>
      <c r="Q5" s="655"/>
      <c r="R5" s="767"/>
      <c r="S5" s="767"/>
      <c r="T5" s="767"/>
      <c r="U5" s="797"/>
      <c r="V5" s="69" t="s">
        <v>222</v>
      </c>
    </row>
    <row r="6" spans="1:22" ht="12.75" customHeight="1">
      <c r="A6" s="8"/>
      <c r="B6" s="55" t="s">
        <v>227</v>
      </c>
      <c r="C6" s="77">
        <f>SUM(C8,C11:C12,C14:C19,C23,C26:C27,C29,C33:C35)</f>
        <v>1540584</v>
      </c>
      <c r="D6" s="78">
        <f>SUM(D8,D11:D12,D14:D19,D23,D26:D27,D29,D33:D35)</f>
        <v>1218315</v>
      </c>
      <c r="E6" s="661">
        <f>SUM(E8,E11:E12,E14:E19,E23,E26:E27,E29,E33:E35)</f>
        <v>839118</v>
      </c>
      <c r="F6" s="661"/>
      <c r="G6" s="658">
        <f>SUM(G8,G11:G12,G14:G19,G23,G26:G27,G29,G33:G35)</f>
        <v>512710</v>
      </c>
      <c r="H6" s="658">
        <f>SUM(H8,H11:H12,H14:H19,H23,H26:H27,H29,H33:H35)</f>
        <v>488089</v>
      </c>
      <c r="I6" s="658"/>
      <c r="J6" s="658"/>
      <c r="K6" s="659"/>
      <c r="L6" s="658"/>
      <c r="M6" s="658"/>
      <c r="N6" s="658"/>
      <c r="O6" s="658"/>
      <c r="P6" s="658"/>
      <c r="Q6" s="658"/>
      <c r="R6" s="658"/>
      <c r="S6" s="658"/>
      <c r="T6" s="658"/>
      <c r="U6" s="659"/>
      <c r="V6" s="70" t="s">
        <v>227</v>
      </c>
    </row>
    <row r="7" spans="1:22" ht="12.75" customHeight="1">
      <c r="A7" s="8"/>
      <c r="B7" s="56" t="s">
        <v>231</v>
      </c>
      <c r="C7" s="77"/>
      <c r="D7" s="78"/>
      <c r="E7" s="663">
        <f aca="true" t="shared" si="0" ref="E7:O7">SUM(E9,E10,E13,E20,E21,E22,E24,E25,E28,E30,E31,E32)</f>
        <v>516764</v>
      </c>
      <c r="F7" s="661">
        <f t="shared" si="0"/>
        <v>421261</v>
      </c>
      <c r="G7" s="661">
        <f t="shared" si="0"/>
        <v>374307</v>
      </c>
      <c r="H7" s="661">
        <f t="shared" si="0"/>
        <v>365651</v>
      </c>
      <c r="I7" s="661">
        <f t="shared" si="0"/>
        <v>338228</v>
      </c>
      <c r="J7" s="661">
        <f t="shared" si="0"/>
        <v>324339</v>
      </c>
      <c r="K7" s="657">
        <f t="shared" si="0"/>
        <v>319609</v>
      </c>
      <c r="L7" s="663">
        <f t="shared" si="0"/>
        <v>314254</v>
      </c>
      <c r="M7" s="663">
        <f t="shared" si="0"/>
        <v>282218</v>
      </c>
      <c r="N7" s="663">
        <f t="shared" si="0"/>
        <v>267466</v>
      </c>
      <c r="O7" s="665">
        <f t="shared" si="0"/>
        <v>250737</v>
      </c>
      <c r="P7" s="665">
        <f>SUM(P9,P10,P13,P20,P21,P22,P24,P25,P28,P30,P31,P32)</f>
        <v>266716</v>
      </c>
      <c r="Q7" s="665">
        <f>SUM(Q9,Q10,Q13,Q20,Q21,Q22,Q24,Q25,Q28,Q30,Q31,Q32,Q18)</f>
        <v>276788</v>
      </c>
      <c r="R7" s="665">
        <f>SUM(R9,R10,R13,R20,R21,R22,R24,R25,R28,R30,R31,R32,R18)</f>
        <v>285352</v>
      </c>
      <c r="S7" s="665">
        <f>SUM(S9,S10,S13,S20,S21,S22,S24,S25,S28,S30,S31,S32,S18)</f>
        <v>239940</v>
      </c>
      <c r="T7" s="665">
        <f>SUM(T9,T10,T13,T20,T21,T22,T24,T25,T28,T30,T31,T32,T18)</f>
        <v>230264</v>
      </c>
      <c r="U7" s="829">
        <f>SUM(U9,U10,U13,U20,U21,U22,U24,U25,U28,U30,U31,U32,U18)</f>
        <v>228637</v>
      </c>
      <c r="V7" s="71" t="s">
        <v>231</v>
      </c>
    </row>
    <row r="8" spans="1:22" ht="12.75" customHeight="1">
      <c r="A8" s="8"/>
      <c r="B8" s="9" t="s">
        <v>62</v>
      </c>
      <c r="C8" s="79">
        <v>44651</v>
      </c>
      <c r="D8" s="80">
        <v>42968</v>
      </c>
      <c r="E8" s="812">
        <v>30332</v>
      </c>
      <c r="F8" s="812">
        <v>18790</v>
      </c>
      <c r="G8" s="812">
        <v>19719</v>
      </c>
      <c r="H8" s="812">
        <v>20312</v>
      </c>
      <c r="I8" s="812">
        <v>20101</v>
      </c>
      <c r="J8" s="812">
        <v>18782</v>
      </c>
      <c r="K8" s="814">
        <v>17375</v>
      </c>
      <c r="L8" s="812">
        <f>10521+5023</f>
        <v>15544</v>
      </c>
      <c r="M8" s="812">
        <v>10616</v>
      </c>
      <c r="N8" s="812">
        <v>9573</v>
      </c>
      <c r="O8" s="812">
        <v>11612</v>
      </c>
      <c r="P8" s="812">
        <v>11612</v>
      </c>
      <c r="Q8" s="830">
        <v>11612</v>
      </c>
      <c r="R8" s="813">
        <v>11612</v>
      </c>
      <c r="S8" s="813">
        <v>11612</v>
      </c>
      <c r="T8" s="813">
        <v>11612</v>
      </c>
      <c r="U8" s="1014">
        <v>11612</v>
      </c>
      <c r="V8" s="72" t="s">
        <v>62</v>
      </c>
    </row>
    <row r="9" spans="1:22" ht="12.75" customHeight="1">
      <c r="A9" s="8"/>
      <c r="B9" s="55" t="s">
        <v>45</v>
      </c>
      <c r="C9" s="81">
        <v>33850</v>
      </c>
      <c r="D9" s="82">
        <v>37272</v>
      </c>
      <c r="E9" s="832">
        <v>42459</v>
      </c>
      <c r="F9" s="780">
        <v>29720</v>
      </c>
      <c r="G9" s="780">
        <v>16609</v>
      </c>
      <c r="H9" s="780">
        <v>17508</v>
      </c>
      <c r="I9" s="780">
        <v>17259</v>
      </c>
      <c r="J9" s="780">
        <v>16382</v>
      </c>
      <c r="K9" s="800">
        <v>16511</v>
      </c>
      <c r="L9" s="780">
        <f>11911+361+300+4539</f>
        <v>17111</v>
      </c>
      <c r="M9" s="780">
        <f>11834+361+18+204</f>
        <v>12417</v>
      </c>
      <c r="N9" s="780">
        <f>11812+361+438+214</f>
        <v>12825</v>
      </c>
      <c r="O9" s="780">
        <f>11812+361+356+214</f>
        <v>12743</v>
      </c>
      <c r="P9" s="780">
        <v>11751</v>
      </c>
      <c r="Q9" s="780">
        <f>5390+11068</f>
        <v>16458</v>
      </c>
      <c r="R9" s="780">
        <v>16576</v>
      </c>
      <c r="S9" s="965">
        <f>4895+361+227</f>
        <v>5483</v>
      </c>
      <c r="T9" s="780">
        <f>4895+430</f>
        <v>5325</v>
      </c>
      <c r="U9" s="800">
        <v>4572</v>
      </c>
      <c r="V9" s="70" t="s">
        <v>45</v>
      </c>
    </row>
    <row r="10" spans="1:22" ht="12.75" customHeight="1">
      <c r="A10" s="8"/>
      <c r="B10" s="10" t="s">
        <v>47</v>
      </c>
      <c r="C10" s="83"/>
      <c r="D10" s="84"/>
      <c r="E10" s="782"/>
      <c r="F10" s="709">
        <v>58524</v>
      </c>
      <c r="G10" s="709">
        <v>50180</v>
      </c>
      <c r="H10" s="709">
        <v>46789</v>
      </c>
      <c r="I10" s="709">
        <v>45506</v>
      </c>
      <c r="J10" s="709">
        <v>44805</v>
      </c>
      <c r="K10" s="801">
        <v>44545</v>
      </c>
      <c r="L10" s="709">
        <f>33354+9408</f>
        <v>42762</v>
      </c>
      <c r="M10" s="709">
        <v>32809</v>
      </c>
      <c r="N10" s="709">
        <v>31656</v>
      </c>
      <c r="O10" s="709">
        <v>29194</v>
      </c>
      <c r="P10" s="709">
        <v>27416</v>
      </c>
      <c r="Q10" s="709">
        <v>27314</v>
      </c>
      <c r="R10" s="709">
        <v>27066</v>
      </c>
      <c r="S10" s="709">
        <v>26281</v>
      </c>
      <c r="T10" s="709">
        <v>25965</v>
      </c>
      <c r="U10" s="801">
        <v>25863</v>
      </c>
      <c r="V10" s="73" t="s">
        <v>47</v>
      </c>
    </row>
    <row r="11" spans="1:22" ht="12.75" customHeight="1">
      <c r="A11" s="8"/>
      <c r="B11" s="55" t="s">
        <v>58</v>
      </c>
      <c r="C11" s="81">
        <v>10995</v>
      </c>
      <c r="D11" s="82">
        <v>6883</v>
      </c>
      <c r="E11" s="780">
        <v>4632</v>
      </c>
      <c r="F11" s="780">
        <v>2236</v>
      </c>
      <c r="G11" s="780">
        <v>2236</v>
      </c>
      <c r="H11" s="786">
        <v>2200</v>
      </c>
      <c r="I11" s="833"/>
      <c r="J11" s="833"/>
      <c r="K11" s="834"/>
      <c r="L11" s="833"/>
      <c r="M11" s="833"/>
      <c r="N11" s="833"/>
      <c r="O11" s="833"/>
      <c r="P11" s="833"/>
      <c r="Q11" s="833"/>
      <c r="R11" s="833"/>
      <c r="S11" s="833"/>
      <c r="T11" s="833"/>
      <c r="U11" s="834"/>
      <c r="V11" s="70" t="s">
        <v>58</v>
      </c>
    </row>
    <row r="12" spans="1:22" ht="12.75" customHeight="1">
      <c r="A12" s="8"/>
      <c r="B12" s="10" t="s">
        <v>63</v>
      </c>
      <c r="C12" s="86">
        <v>459030</v>
      </c>
      <c r="D12" s="85">
        <v>476437</v>
      </c>
      <c r="E12" s="709">
        <v>366724</v>
      </c>
      <c r="F12" s="709">
        <v>189558</v>
      </c>
      <c r="G12" s="709">
        <v>182836</v>
      </c>
      <c r="H12" s="558">
        <v>179000</v>
      </c>
      <c r="I12" s="709">
        <v>176837</v>
      </c>
      <c r="J12" s="709">
        <v>237313</v>
      </c>
      <c r="K12" s="801">
        <v>158247</v>
      </c>
      <c r="L12" s="709">
        <f>96550+58918</f>
        <v>155468</v>
      </c>
      <c r="M12" s="709">
        <v>95595</v>
      </c>
      <c r="N12" s="709">
        <v>119916</v>
      </c>
      <c r="O12" s="709">
        <v>113657</v>
      </c>
      <c r="P12" s="709">
        <v>108840</v>
      </c>
      <c r="Q12" s="709">
        <v>106727</v>
      </c>
      <c r="R12" s="709">
        <v>104460</v>
      </c>
      <c r="S12" s="709">
        <v>96868</v>
      </c>
      <c r="T12" s="709">
        <v>91787</v>
      </c>
      <c r="U12" s="801">
        <v>88066</v>
      </c>
      <c r="V12" s="73" t="s">
        <v>63</v>
      </c>
    </row>
    <row r="13" spans="1:22" ht="12.75" customHeight="1">
      <c r="A13" s="8"/>
      <c r="B13" s="55" t="s">
        <v>48</v>
      </c>
      <c r="C13" s="81"/>
      <c r="D13" s="82"/>
      <c r="E13" s="780"/>
      <c r="F13" s="780">
        <v>5857</v>
      </c>
      <c r="G13" s="780">
        <v>6122</v>
      </c>
      <c r="H13" s="780">
        <v>7531</v>
      </c>
      <c r="I13" s="780">
        <v>17436</v>
      </c>
      <c r="J13" s="780">
        <v>20352</v>
      </c>
      <c r="K13" s="800">
        <v>18971</v>
      </c>
      <c r="L13" s="780">
        <v>18376</v>
      </c>
      <c r="M13" s="780">
        <v>16781</v>
      </c>
      <c r="N13" s="780">
        <v>19643</v>
      </c>
      <c r="O13" s="780">
        <v>18284</v>
      </c>
      <c r="P13" s="780">
        <v>17575</v>
      </c>
      <c r="Q13" s="780">
        <v>18995</v>
      </c>
      <c r="R13" s="780">
        <v>21667</v>
      </c>
      <c r="S13" s="780">
        <v>22285</v>
      </c>
      <c r="T13" s="780">
        <v>21188</v>
      </c>
      <c r="U13" s="800">
        <v>21501</v>
      </c>
      <c r="V13" s="70" t="s">
        <v>48</v>
      </c>
    </row>
    <row r="14" spans="1:22" ht="12.75" customHeight="1">
      <c r="A14" s="8"/>
      <c r="B14" s="10" t="s">
        <v>66</v>
      </c>
      <c r="C14" s="86">
        <v>9727</v>
      </c>
      <c r="D14" s="85">
        <v>4417</v>
      </c>
      <c r="E14" s="709">
        <v>1830</v>
      </c>
      <c r="F14" s="709">
        <v>1856</v>
      </c>
      <c r="G14" s="709">
        <v>1856</v>
      </c>
      <c r="H14" s="709">
        <v>1856</v>
      </c>
      <c r="I14" s="709">
        <v>1611</v>
      </c>
      <c r="J14" s="709">
        <v>833</v>
      </c>
      <c r="K14" s="801">
        <v>926</v>
      </c>
      <c r="L14" s="709">
        <v>1095</v>
      </c>
      <c r="M14" s="709">
        <v>891</v>
      </c>
      <c r="N14" s="709">
        <v>891</v>
      </c>
      <c r="O14" s="709"/>
      <c r="P14" s="709">
        <v>502</v>
      </c>
      <c r="Q14" s="709">
        <v>502</v>
      </c>
      <c r="R14" s="778">
        <v>502</v>
      </c>
      <c r="S14" s="709">
        <v>450</v>
      </c>
      <c r="T14" s="778">
        <v>450</v>
      </c>
      <c r="U14" s="801">
        <v>449</v>
      </c>
      <c r="V14" s="73" t="s">
        <v>66</v>
      </c>
    </row>
    <row r="15" spans="1:22" ht="12.75" customHeight="1">
      <c r="A15" s="8"/>
      <c r="B15" s="55" t="s">
        <v>59</v>
      </c>
      <c r="C15" s="81">
        <v>9025</v>
      </c>
      <c r="D15" s="82">
        <v>10871</v>
      </c>
      <c r="E15" s="780">
        <v>10967</v>
      </c>
      <c r="F15" s="780">
        <v>3453</v>
      </c>
      <c r="G15" s="780">
        <v>3539</v>
      </c>
      <c r="H15" s="780">
        <v>3539</v>
      </c>
      <c r="I15" s="780">
        <v>3473</v>
      </c>
      <c r="J15" s="780">
        <v>3497</v>
      </c>
      <c r="K15" s="800">
        <v>3491</v>
      </c>
      <c r="L15" s="780">
        <f>2861+305</f>
        <v>3166</v>
      </c>
      <c r="M15" s="780">
        <f>3263+305</f>
        <v>3568</v>
      </c>
      <c r="N15" s="780">
        <f>4458+305</f>
        <v>4763</v>
      </c>
      <c r="O15" s="780"/>
      <c r="P15" s="780">
        <v>3158</v>
      </c>
      <c r="Q15" s="780">
        <v>3158</v>
      </c>
      <c r="R15" s="780">
        <v>3158</v>
      </c>
      <c r="S15" s="780">
        <v>3184</v>
      </c>
      <c r="T15" s="786">
        <v>3184</v>
      </c>
      <c r="U15" s="802">
        <v>3184</v>
      </c>
      <c r="V15" s="70" t="s">
        <v>59</v>
      </c>
    </row>
    <row r="16" spans="1:22" ht="12.75" customHeight="1">
      <c r="A16" s="8"/>
      <c r="B16" s="10" t="s">
        <v>64</v>
      </c>
      <c r="C16" s="86">
        <v>53336</v>
      </c>
      <c r="D16" s="85">
        <v>40773</v>
      </c>
      <c r="E16" s="709">
        <v>37687</v>
      </c>
      <c r="F16" s="709">
        <v>26452</v>
      </c>
      <c r="G16" s="709">
        <v>25867</v>
      </c>
      <c r="H16" s="709">
        <v>26228</v>
      </c>
      <c r="I16" s="709">
        <v>25426</v>
      </c>
      <c r="J16" s="709">
        <v>25542</v>
      </c>
      <c r="K16" s="801">
        <v>23842</v>
      </c>
      <c r="L16" s="709">
        <f>14+1020+180+13817</f>
        <v>15031</v>
      </c>
      <c r="M16" s="709">
        <f>1026+187+14311</f>
        <v>15524</v>
      </c>
      <c r="N16" s="709">
        <f>42+1026+187+13718</f>
        <v>14973</v>
      </c>
      <c r="O16" s="709">
        <f>42+1026+187+11192</f>
        <v>12447</v>
      </c>
      <c r="P16" s="709">
        <v>14337</v>
      </c>
      <c r="Q16" s="709">
        <v>13732</v>
      </c>
      <c r="R16" s="709">
        <v>14148</v>
      </c>
      <c r="S16" s="709">
        <f>42+1141+197+13520</f>
        <v>14900</v>
      </c>
      <c r="T16" s="709">
        <f>13520+182</f>
        <v>13702</v>
      </c>
      <c r="U16" s="801">
        <v>11353</v>
      </c>
      <c r="V16" s="73" t="s">
        <v>64</v>
      </c>
    </row>
    <row r="17" spans="1:22" ht="12.75" customHeight="1">
      <c r="A17" s="8"/>
      <c r="B17" s="55" t="s">
        <v>65</v>
      </c>
      <c r="C17" s="81">
        <v>291450</v>
      </c>
      <c r="D17" s="82">
        <v>239800</v>
      </c>
      <c r="E17" s="832">
        <v>148100</v>
      </c>
      <c r="F17" s="780">
        <v>94789</v>
      </c>
      <c r="G17" s="780">
        <v>109770</v>
      </c>
      <c r="H17" s="780">
        <v>107033</v>
      </c>
      <c r="I17" s="780">
        <v>103833</v>
      </c>
      <c r="J17" s="780">
        <v>99372</v>
      </c>
      <c r="K17" s="800">
        <v>95738</v>
      </c>
      <c r="L17" s="780">
        <f>32769+59047</f>
        <v>91816</v>
      </c>
      <c r="M17" s="780">
        <v>31589</v>
      </c>
      <c r="N17" s="780">
        <f>30196+1649</f>
        <v>31845</v>
      </c>
      <c r="O17" s="780">
        <v>29028</v>
      </c>
      <c r="P17" s="780">
        <v>25314</v>
      </c>
      <c r="Q17" s="780">
        <v>20322</v>
      </c>
      <c r="R17" s="780">
        <v>17830</v>
      </c>
      <c r="S17" s="780">
        <v>16333</v>
      </c>
      <c r="T17" s="780">
        <v>15017</v>
      </c>
      <c r="U17" s="800">
        <v>14052</v>
      </c>
      <c r="V17" s="70" t="s">
        <v>65</v>
      </c>
    </row>
    <row r="18" spans="1:22" ht="12.75" customHeight="1">
      <c r="A18" s="8"/>
      <c r="B18" s="497" t="s">
        <v>76</v>
      </c>
      <c r="C18" s="86">
        <v>0</v>
      </c>
      <c r="D18" s="85">
        <v>12852</v>
      </c>
      <c r="E18" s="709">
        <v>13720</v>
      </c>
      <c r="F18" s="709">
        <v>9986</v>
      </c>
      <c r="G18" s="709">
        <v>9456</v>
      </c>
      <c r="H18" s="709">
        <v>8774</v>
      </c>
      <c r="I18" s="709">
        <v>7920</v>
      </c>
      <c r="J18" s="709">
        <v>7376</v>
      </c>
      <c r="K18" s="801">
        <v>7330</v>
      </c>
      <c r="L18" s="709">
        <v>6813</v>
      </c>
      <c r="M18" s="709">
        <v>6781</v>
      </c>
      <c r="N18" s="709">
        <v>6632</v>
      </c>
      <c r="O18" s="709">
        <v>5857</v>
      </c>
      <c r="P18" s="709">
        <v>6674</v>
      </c>
      <c r="Q18" s="709">
        <v>6063</v>
      </c>
      <c r="R18" s="778">
        <v>6063</v>
      </c>
      <c r="S18" s="709">
        <v>5959</v>
      </c>
      <c r="T18" s="709">
        <v>5518</v>
      </c>
      <c r="U18" s="801">
        <v>5519</v>
      </c>
      <c r="V18" s="73" t="s">
        <v>76</v>
      </c>
    </row>
    <row r="19" spans="1:22" ht="12.75" customHeight="1">
      <c r="A19" s="8"/>
      <c r="B19" s="184" t="s">
        <v>67</v>
      </c>
      <c r="C19" s="524">
        <v>125200</v>
      </c>
      <c r="D19" s="525">
        <v>115228</v>
      </c>
      <c r="E19" s="835">
        <v>99728</v>
      </c>
      <c r="F19" s="711">
        <v>70115</v>
      </c>
      <c r="G19" s="711">
        <v>73146</v>
      </c>
      <c r="H19" s="711">
        <v>56900</v>
      </c>
      <c r="I19" s="711">
        <v>56175</v>
      </c>
      <c r="J19" s="711">
        <v>54598</v>
      </c>
      <c r="K19" s="804">
        <v>45730</v>
      </c>
      <c r="L19" s="711">
        <f>79+41106+5265</f>
        <v>46450</v>
      </c>
      <c r="M19" s="711">
        <f>79+41398</f>
        <v>41477</v>
      </c>
      <c r="N19" s="711">
        <f>79+40740</f>
        <v>40819</v>
      </c>
      <c r="O19" s="711">
        <f>79+38421</f>
        <v>38500</v>
      </c>
      <c r="P19" s="711">
        <v>30331</v>
      </c>
      <c r="Q19" s="711">
        <v>28493</v>
      </c>
      <c r="R19" s="711">
        <v>22140</v>
      </c>
      <c r="S19" s="711">
        <v>20625</v>
      </c>
      <c r="T19" s="711">
        <v>20515</v>
      </c>
      <c r="U19" s="804">
        <v>20270</v>
      </c>
      <c r="V19" s="449" t="s">
        <v>67</v>
      </c>
    </row>
    <row r="20" spans="1:22" ht="12.75" customHeight="1">
      <c r="A20" s="8"/>
      <c r="B20" s="497" t="s">
        <v>46</v>
      </c>
      <c r="C20" s="83" t="s">
        <v>75</v>
      </c>
      <c r="D20" s="84" t="s">
        <v>75</v>
      </c>
      <c r="E20" s="782" t="s">
        <v>75</v>
      </c>
      <c r="F20" s="782" t="s">
        <v>75</v>
      </c>
      <c r="G20" s="782" t="s">
        <v>75</v>
      </c>
      <c r="H20" s="782" t="s">
        <v>75</v>
      </c>
      <c r="I20" s="782" t="s">
        <v>75</v>
      </c>
      <c r="J20" s="782" t="s">
        <v>75</v>
      </c>
      <c r="K20" s="815" t="s">
        <v>75</v>
      </c>
      <c r="L20" s="782" t="s">
        <v>75</v>
      </c>
      <c r="M20" s="782" t="s">
        <v>75</v>
      </c>
      <c r="N20" s="782" t="s">
        <v>75</v>
      </c>
      <c r="O20" s="782" t="s">
        <v>75</v>
      </c>
      <c r="P20" s="782" t="s">
        <v>75</v>
      </c>
      <c r="Q20" s="782" t="s">
        <v>75</v>
      </c>
      <c r="R20" s="782" t="s">
        <v>75</v>
      </c>
      <c r="S20" s="782" t="s">
        <v>75</v>
      </c>
      <c r="T20" s="782" t="s">
        <v>75</v>
      </c>
      <c r="U20" s="815" t="s">
        <v>75</v>
      </c>
      <c r="V20" s="73" t="s">
        <v>46</v>
      </c>
    </row>
    <row r="21" spans="1:22" ht="12.75" customHeight="1">
      <c r="A21" s="8"/>
      <c r="B21" s="184" t="s">
        <v>50</v>
      </c>
      <c r="C21" s="524"/>
      <c r="D21" s="525"/>
      <c r="E21" s="711">
        <v>11085</v>
      </c>
      <c r="F21" s="711">
        <v>9146</v>
      </c>
      <c r="G21" s="711">
        <v>8105</v>
      </c>
      <c r="H21" s="711">
        <v>7911</v>
      </c>
      <c r="I21" s="711">
        <v>7952</v>
      </c>
      <c r="J21" s="711">
        <v>8706</v>
      </c>
      <c r="K21" s="804">
        <v>8871</v>
      </c>
      <c r="L21" s="711">
        <v>8848</v>
      </c>
      <c r="M21" s="711">
        <v>8891</v>
      </c>
      <c r="N21" s="711">
        <v>8796</v>
      </c>
      <c r="O21" s="711">
        <v>9493</v>
      </c>
      <c r="P21" s="711">
        <v>9033</v>
      </c>
      <c r="Q21" s="711">
        <v>9221</v>
      </c>
      <c r="R21" s="711">
        <v>10177</v>
      </c>
      <c r="S21" s="711">
        <v>11092</v>
      </c>
      <c r="T21" s="711">
        <v>12420</v>
      </c>
      <c r="U21" s="804">
        <v>11888</v>
      </c>
      <c r="V21" s="449" t="s">
        <v>50</v>
      </c>
    </row>
    <row r="22" spans="1:22" ht="12.75" customHeight="1">
      <c r="A22" s="8"/>
      <c r="B22" s="497" t="s">
        <v>51</v>
      </c>
      <c r="C22" s="86"/>
      <c r="D22" s="85"/>
      <c r="E22" s="778">
        <v>12860</v>
      </c>
      <c r="F22" s="709">
        <v>13155</v>
      </c>
      <c r="G22" s="709">
        <v>12509</v>
      </c>
      <c r="H22" s="709">
        <v>12391</v>
      </c>
      <c r="I22" s="709">
        <v>12144</v>
      </c>
      <c r="J22" s="709">
        <v>13134</v>
      </c>
      <c r="K22" s="801">
        <v>13192</v>
      </c>
      <c r="L22" s="709">
        <f>9358+29+4006</f>
        <v>13393</v>
      </c>
      <c r="M22" s="709">
        <f>9457+29</f>
        <v>9486</v>
      </c>
      <c r="N22" s="709">
        <f>9638+10</f>
        <v>9648</v>
      </c>
      <c r="O22" s="709">
        <f>9551+10</f>
        <v>9561</v>
      </c>
      <c r="P22" s="709">
        <v>9238</v>
      </c>
      <c r="Q22" s="709">
        <v>9212</v>
      </c>
      <c r="R22" s="709">
        <v>9112</v>
      </c>
      <c r="S22" s="709">
        <v>9202</v>
      </c>
      <c r="T22" s="709">
        <v>8784</v>
      </c>
      <c r="U22" s="801">
        <v>8574</v>
      </c>
      <c r="V22" s="73" t="s">
        <v>51</v>
      </c>
    </row>
    <row r="23" spans="1:22" ht="12.75" customHeight="1">
      <c r="A23" s="8"/>
      <c r="B23" s="184" t="s">
        <v>68</v>
      </c>
      <c r="C23" s="524">
        <v>4230</v>
      </c>
      <c r="D23" s="525">
        <v>3650</v>
      </c>
      <c r="E23" s="711">
        <v>2719</v>
      </c>
      <c r="F23" s="711">
        <v>2626</v>
      </c>
      <c r="G23" s="711">
        <v>2878</v>
      </c>
      <c r="H23" s="711">
        <v>3092</v>
      </c>
      <c r="I23" s="711">
        <v>3328</v>
      </c>
      <c r="J23" s="711">
        <v>3206</v>
      </c>
      <c r="K23" s="804">
        <v>3222</v>
      </c>
      <c r="L23" s="711">
        <f>3332+124</f>
        <v>3456</v>
      </c>
      <c r="M23" s="711">
        <v>3526</v>
      </c>
      <c r="N23" s="711">
        <v>3836</v>
      </c>
      <c r="O23" s="711">
        <v>3895</v>
      </c>
      <c r="P23" s="711">
        <v>4147</v>
      </c>
      <c r="Q23" s="711">
        <v>4005</v>
      </c>
      <c r="R23" s="711">
        <v>3603</v>
      </c>
      <c r="S23" s="711">
        <v>3255</v>
      </c>
      <c r="T23" s="790">
        <v>3255</v>
      </c>
      <c r="U23" s="816">
        <v>3255</v>
      </c>
      <c r="V23" s="449" t="s">
        <v>68</v>
      </c>
    </row>
    <row r="24" spans="1:22" ht="12.75" customHeight="1">
      <c r="A24" s="8"/>
      <c r="B24" s="497" t="s">
        <v>49</v>
      </c>
      <c r="C24" s="86"/>
      <c r="D24" s="85"/>
      <c r="E24" s="709"/>
      <c r="F24" s="709">
        <v>23528</v>
      </c>
      <c r="G24" s="709">
        <v>22789</v>
      </c>
      <c r="H24" s="709">
        <v>21819</v>
      </c>
      <c r="I24" s="709">
        <v>22178</v>
      </c>
      <c r="J24" s="709">
        <v>19783</v>
      </c>
      <c r="K24" s="801">
        <v>19130</v>
      </c>
      <c r="L24" s="709">
        <f>95+13080+649</f>
        <v>13824</v>
      </c>
      <c r="M24" s="709">
        <f>95+11624</f>
        <v>11719</v>
      </c>
      <c r="N24" s="709">
        <f>1+95+11670</f>
        <v>11766</v>
      </c>
      <c r="O24" s="709">
        <v>10683</v>
      </c>
      <c r="P24" s="709">
        <v>11357</v>
      </c>
      <c r="Q24" s="709">
        <v>12206</v>
      </c>
      <c r="R24" s="709">
        <v>11066</v>
      </c>
      <c r="S24" s="709">
        <v>10217</v>
      </c>
      <c r="T24" s="709">
        <v>9509</v>
      </c>
      <c r="U24" s="801">
        <v>8916</v>
      </c>
      <c r="V24" s="73" t="s">
        <v>49</v>
      </c>
    </row>
    <row r="25" spans="1:22" ht="12.75" customHeight="1">
      <c r="A25" s="8"/>
      <c r="B25" s="184" t="s">
        <v>52</v>
      </c>
      <c r="C25" s="526" t="s">
        <v>75</v>
      </c>
      <c r="D25" s="527" t="s">
        <v>75</v>
      </c>
      <c r="E25" s="792" t="s">
        <v>75</v>
      </c>
      <c r="F25" s="792" t="s">
        <v>75</v>
      </c>
      <c r="G25" s="792" t="s">
        <v>75</v>
      </c>
      <c r="H25" s="792" t="s">
        <v>75</v>
      </c>
      <c r="I25" s="792" t="s">
        <v>75</v>
      </c>
      <c r="J25" s="792" t="s">
        <v>75</v>
      </c>
      <c r="K25" s="817" t="s">
        <v>75</v>
      </c>
      <c r="L25" s="792" t="s">
        <v>75</v>
      </c>
      <c r="M25" s="792" t="s">
        <v>75</v>
      </c>
      <c r="N25" s="792" t="s">
        <v>75</v>
      </c>
      <c r="O25" s="792" t="s">
        <v>75</v>
      </c>
      <c r="P25" s="792" t="s">
        <v>75</v>
      </c>
      <c r="Q25" s="792" t="s">
        <v>75</v>
      </c>
      <c r="R25" s="792" t="s">
        <v>75</v>
      </c>
      <c r="S25" s="792" t="s">
        <v>75</v>
      </c>
      <c r="T25" s="792" t="s">
        <v>75</v>
      </c>
      <c r="U25" s="817" t="s">
        <v>75</v>
      </c>
      <c r="V25" s="449" t="s">
        <v>52</v>
      </c>
    </row>
    <row r="26" spans="1:22" ht="12.75" customHeight="1">
      <c r="A26" s="8"/>
      <c r="B26" s="497" t="s">
        <v>60</v>
      </c>
      <c r="C26" s="86">
        <v>18750</v>
      </c>
      <c r="D26" s="85">
        <v>11355</v>
      </c>
      <c r="E26" s="709">
        <v>6697</v>
      </c>
      <c r="F26" s="709">
        <v>4700</v>
      </c>
      <c r="G26" s="709">
        <v>3331</v>
      </c>
      <c r="H26" s="709">
        <v>2099</v>
      </c>
      <c r="I26" s="778">
        <v>1807</v>
      </c>
      <c r="J26" s="778"/>
      <c r="K26" s="799"/>
      <c r="L26" s="778"/>
      <c r="M26" s="778"/>
      <c r="N26" s="778"/>
      <c r="O26" s="778"/>
      <c r="P26" s="778"/>
      <c r="Q26" s="778"/>
      <c r="R26" s="778"/>
      <c r="S26" s="778"/>
      <c r="T26" s="778"/>
      <c r="U26" s="799"/>
      <c r="V26" s="73" t="s">
        <v>60</v>
      </c>
    </row>
    <row r="27" spans="1:22" ht="12.75" customHeight="1">
      <c r="A27" s="8"/>
      <c r="B27" s="184" t="s">
        <v>69</v>
      </c>
      <c r="C27" s="524">
        <v>39109</v>
      </c>
      <c r="D27" s="525">
        <v>38689</v>
      </c>
      <c r="E27" s="711">
        <v>34330</v>
      </c>
      <c r="F27" s="711">
        <v>23970</v>
      </c>
      <c r="G27" s="711">
        <v>24988</v>
      </c>
      <c r="H27" s="711">
        <v>24089</v>
      </c>
      <c r="I27" s="711">
        <v>22655</v>
      </c>
      <c r="J27" s="711">
        <v>22262</v>
      </c>
      <c r="K27" s="804">
        <v>22655</v>
      </c>
      <c r="L27" s="711">
        <f>67+16552+43+229</f>
        <v>16891</v>
      </c>
      <c r="M27" s="711">
        <f>59+18185+229</f>
        <v>18473</v>
      </c>
      <c r="N27" s="711">
        <f>56+30470</f>
        <v>30526</v>
      </c>
      <c r="O27" s="711">
        <f>52+27095</f>
        <v>27147</v>
      </c>
      <c r="P27" s="711">
        <v>28605</v>
      </c>
      <c r="Q27" s="711">
        <v>17412</v>
      </c>
      <c r="R27" s="711">
        <f>18056+48</f>
        <v>18104</v>
      </c>
      <c r="S27" s="711">
        <f>17429+48</f>
        <v>17477</v>
      </c>
      <c r="T27" s="711">
        <v>18544</v>
      </c>
      <c r="U27" s="804">
        <v>17569</v>
      </c>
      <c r="V27" s="449" t="s">
        <v>69</v>
      </c>
    </row>
    <row r="28" spans="1:22" ht="12.75" customHeight="1">
      <c r="A28" s="8"/>
      <c r="B28" s="497" t="s">
        <v>53</v>
      </c>
      <c r="C28" s="86">
        <v>229222</v>
      </c>
      <c r="D28" s="85">
        <v>231364</v>
      </c>
      <c r="E28" s="818">
        <v>275582</v>
      </c>
      <c r="F28" s="709">
        <v>130116</v>
      </c>
      <c r="G28" s="709">
        <v>130660</v>
      </c>
      <c r="H28" s="709">
        <v>119308</v>
      </c>
      <c r="I28" s="709">
        <v>111532</v>
      </c>
      <c r="J28" s="709">
        <v>107315</v>
      </c>
      <c r="K28" s="801">
        <v>103234</v>
      </c>
      <c r="L28" s="709">
        <v>103527</v>
      </c>
      <c r="M28" s="709">
        <v>104982</v>
      </c>
      <c r="N28" s="709">
        <v>101528</v>
      </c>
      <c r="O28" s="709">
        <v>95462</v>
      </c>
      <c r="P28" s="709">
        <v>89270</v>
      </c>
      <c r="Q28" s="709">
        <v>88928</v>
      </c>
      <c r="R28" s="709">
        <v>91483</v>
      </c>
      <c r="S28" s="709">
        <v>87726</v>
      </c>
      <c r="T28" s="709">
        <v>87538</v>
      </c>
      <c r="U28" s="801">
        <v>86364</v>
      </c>
      <c r="V28" s="73" t="s">
        <v>53</v>
      </c>
    </row>
    <row r="29" spans="1:22" ht="12.75" customHeight="1">
      <c r="A29" s="8"/>
      <c r="B29" s="184" t="s">
        <v>70</v>
      </c>
      <c r="C29" s="524">
        <v>9045</v>
      </c>
      <c r="D29" s="525">
        <v>5860</v>
      </c>
      <c r="E29" s="711">
        <v>4579</v>
      </c>
      <c r="F29" s="711">
        <v>4162</v>
      </c>
      <c r="G29" s="711">
        <v>4179</v>
      </c>
      <c r="H29" s="711">
        <v>4345</v>
      </c>
      <c r="I29" s="711">
        <v>3979</v>
      </c>
      <c r="J29" s="711">
        <v>3544</v>
      </c>
      <c r="K29" s="804">
        <v>3495</v>
      </c>
      <c r="L29" s="711">
        <f>2957+240</f>
        <v>3197</v>
      </c>
      <c r="M29" s="711">
        <v>2953</v>
      </c>
      <c r="N29" s="711">
        <v>3043</v>
      </c>
      <c r="O29" s="711"/>
      <c r="P29" s="711">
        <v>3194</v>
      </c>
      <c r="Q29" s="711">
        <v>3170</v>
      </c>
      <c r="R29" s="790">
        <v>3170</v>
      </c>
      <c r="S29" s="790">
        <v>3170</v>
      </c>
      <c r="T29" s="711">
        <v>3283</v>
      </c>
      <c r="U29" s="816">
        <v>3283</v>
      </c>
      <c r="V29" s="449" t="s">
        <v>70</v>
      </c>
    </row>
    <row r="30" spans="1:22" ht="12.75" customHeight="1">
      <c r="A30" s="8"/>
      <c r="B30" s="497" t="s">
        <v>54</v>
      </c>
      <c r="C30" s="86"/>
      <c r="D30" s="85">
        <v>144520</v>
      </c>
      <c r="E30" s="709">
        <v>166086</v>
      </c>
      <c r="F30" s="709">
        <v>117982</v>
      </c>
      <c r="G30" s="709">
        <v>96765</v>
      </c>
      <c r="H30" s="709">
        <v>101824</v>
      </c>
      <c r="I30" s="709">
        <v>75478</v>
      </c>
      <c r="J30" s="709">
        <v>64299</v>
      </c>
      <c r="K30" s="801">
        <v>65175</v>
      </c>
      <c r="L30" s="709">
        <f>50849+94+800+1232+450+11183+1308</f>
        <v>65916</v>
      </c>
      <c r="M30" s="709">
        <f>50151+1290+1625+550</f>
        <v>53616</v>
      </c>
      <c r="N30" s="709">
        <f>42925+1398+1735+220+585</f>
        <v>46863</v>
      </c>
      <c r="O30" s="709">
        <f>41754+2600+1719+220+585</f>
        <v>46878</v>
      </c>
      <c r="P30" s="709">
        <v>72605</v>
      </c>
      <c r="Q30" s="709">
        <v>69285</v>
      </c>
      <c r="R30" s="709">
        <v>72638</v>
      </c>
      <c r="S30" s="783">
        <f>36821+3571+1609+570</f>
        <v>42571</v>
      </c>
      <c r="T30" s="709">
        <f>32171+216+3512</f>
        <v>35899</v>
      </c>
      <c r="U30" s="801">
        <v>36858</v>
      </c>
      <c r="V30" s="73" t="s">
        <v>54</v>
      </c>
    </row>
    <row r="31" spans="1:25" ht="12.75" customHeight="1">
      <c r="A31" s="8"/>
      <c r="B31" s="184" t="s">
        <v>56</v>
      </c>
      <c r="C31" s="524"/>
      <c r="D31" s="525"/>
      <c r="E31" s="711">
        <v>8692</v>
      </c>
      <c r="F31" s="711">
        <v>6258</v>
      </c>
      <c r="G31" s="711">
        <v>5981</v>
      </c>
      <c r="H31" s="711">
        <v>5774</v>
      </c>
      <c r="I31" s="711">
        <v>4770</v>
      </c>
      <c r="J31" s="711">
        <v>4627</v>
      </c>
      <c r="K31" s="804">
        <v>4465</v>
      </c>
      <c r="L31" s="711">
        <f>3995+513</f>
        <v>4508</v>
      </c>
      <c r="M31" s="711">
        <v>3979</v>
      </c>
      <c r="N31" s="711">
        <v>3921</v>
      </c>
      <c r="O31" s="711">
        <v>3905</v>
      </c>
      <c r="P31" s="711">
        <v>3211</v>
      </c>
      <c r="Q31" s="711">
        <v>3142</v>
      </c>
      <c r="R31" s="711">
        <v>3120</v>
      </c>
      <c r="S31" s="711">
        <v>3142</v>
      </c>
      <c r="T31" s="711">
        <v>3148</v>
      </c>
      <c r="U31" s="804">
        <v>3049</v>
      </c>
      <c r="V31" s="449" t="s">
        <v>56</v>
      </c>
      <c r="Y31" s="971"/>
    </row>
    <row r="32" spans="1:22" ht="12.75" customHeight="1">
      <c r="A32" s="8"/>
      <c r="B32" s="497" t="s">
        <v>55</v>
      </c>
      <c r="C32" s="83"/>
      <c r="D32" s="84"/>
      <c r="E32" s="782"/>
      <c r="F32" s="709">
        <v>26975</v>
      </c>
      <c r="G32" s="709">
        <v>24587</v>
      </c>
      <c r="H32" s="709">
        <v>24796</v>
      </c>
      <c r="I32" s="709">
        <v>23973</v>
      </c>
      <c r="J32" s="709">
        <v>24936</v>
      </c>
      <c r="K32" s="801">
        <v>25515</v>
      </c>
      <c r="L32" s="709">
        <v>25989</v>
      </c>
      <c r="M32" s="709">
        <v>27538</v>
      </c>
      <c r="N32" s="709">
        <v>20820</v>
      </c>
      <c r="O32" s="709">
        <v>14534</v>
      </c>
      <c r="P32" s="709">
        <v>15260</v>
      </c>
      <c r="Q32" s="709">
        <v>15964</v>
      </c>
      <c r="R32" s="709">
        <v>16384</v>
      </c>
      <c r="S32" s="709">
        <v>15982</v>
      </c>
      <c r="T32" s="709">
        <v>14970</v>
      </c>
      <c r="U32" s="801">
        <v>15533</v>
      </c>
      <c r="V32" s="73" t="s">
        <v>55</v>
      </c>
    </row>
    <row r="33" spans="1:22" ht="12.75" customHeight="1">
      <c r="A33" s="8"/>
      <c r="B33" s="184" t="s">
        <v>71</v>
      </c>
      <c r="C33" s="524">
        <v>22835</v>
      </c>
      <c r="D33" s="525">
        <v>21472</v>
      </c>
      <c r="E33" s="711">
        <v>15200</v>
      </c>
      <c r="F33" s="711">
        <v>12630</v>
      </c>
      <c r="G33" s="711">
        <v>12259</v>
      </c>
      <c r="H33" s="711">
        <v>11842</v>
      </c>
      <c r="I33" s="711">
        <v>11627</v>
      </c>
      <c r="J33" s="711">
        <v>11738</v>
      </c>
      <c r="K33" s="804">
        <v>11216</v>
      </c>
      <c r="L33" s="711">
        <f>10971+53</f>
        <v>11024</v>
      </c>
      <c r="M33" s="711">
        <v>10790</v>
      </c>
      <c r="N33" s="711">
        <v>10934</v>
      </c>
      <c r="O33" s="711">
        <v>10524</v>
      </c>
      <c r="P33" s="711">
        <v>10464</v>
      </c>
      <c r="Q33" s="711">
        <v>10364</v>
      </c>
      <c r="R33" s="711">
        <v>9817</v>
      </c>
      <c r="S33" s="711">
        <v>9457</v>
      </c>
      <c r="T33" s="711">
        <v>9078</v>
      </c>
      <c r="U33" s="804">
        <v>8854</v>
      </c>
      <c r="V33" s="449" t="s">
        <v>71</v>
      </c>
    </row>
    <row r="34" spans="1:22" ht="12.75" customHeight="1">
      <c r="A34" s="8"/>
      <c r="B34" s="497" t="s">
        <v>72</v>
      </c>
      <c r="C34" s="86">
        <v>53394</v>
      </c>
      <c r="D34" s="85">
        <v>45890</v>
      </c>
      <c r="E34" s="709">
        <v>27470</v>
      </c>
      <c r="F34" s="709">
        <v>17596</v>
      </c>
      <c r="G34" s="709">
        <v>17600</v>
      </c>
      <c r="H34" s="709">
        <v>17674</v>
      </c>
      <c r="I34" s="709">
        <v>16909</v>
      </c>
      <c r="J34" s="709">
        <v>16832</v>
      </c>
      <c r="K34" s="801">
        <v>16637</v>
      </c>
      <c r="L34" s="709">
        <v>16407</v>
      </c>
      <c r="M34" s="709">
        <v>15896</v>
      </c>
      <c r="N34" s="709">
        <v>15735</v>
      </c>
      <c r="O34" s="709">
        <v>14797</v>
      </c>
      <c r="P34" s="709">
        <v>15166</v>
      </c>
      <c r="Q34" s="709">
        <v>14578</v>
      </c>
      <c r="R34" s="709"/>
      <c r="S34" s="709"/>
      <c r="T34" s="709"/>
      <c r="U34" s="801"/>
      <c r="V34" s="73" t="s">
        <v>72</v>
      </c>
    </row>
    <row r="35" spans="1:22" ht="12.75" customHeight="1">
      <c r="A35" s="8"/>
      <c r="B35" s="184" t="s">
        <v>61</v>
      </c>
      <c r="C35" s="524">
        <v>389807</v>
      </c>
      <c r="D35" s="525">
        <v>141170</v>
      </c>
      <c r="E35" s="711">
        <v>34403</v>
      </c>
      <c r="F35" s="711"/>
      <c r="G35" s="790">
        <v>19050</v>
      </c>
      <c r="H35" s="790">
        <v>19106</v>
      </c>
      <c r="I35" s="555"/>
      <c r="J35" s="555"/>
      <c r="K35" s="561"/>
      <c r="L35" s="555"/>
      <c r="M35" s="555"/>
      <c r="N35" s="555">
        <v>8284</v>
      </c>
      <c r="O35" s="555"/>
      <c r="P35" s="555"/>
      <c r="Q35" s="555"/>
      <c r="R35" s="555"/>
      <c r="S35" s="555"/>
      <c r="T35" s="555"/>
      <c r="U35" s="561"/>
      <c r="V35" s="449" t="s">
        <v>61</v>
      </c>
    </row>
    <row r="36" spans="1:22" ht="12.75" customHeight="1">
      <c r="A36" s="8"/>
      <c r="B36" s="496" t="s">
        <v>221</v>
      </c>
      <c r="C36" s="79"/>
      <c r="D36" s="826"/>
      <c r="E36" s="836"/>
      <c r="F36" s="836"/>
      <c r="G36" s="813"/>
      <c r="H36" s="813"/>
      <c r="I36" s="837"/>
      <c r="J36" s="837"/>
      <c r="K36" s="759"/>
      <c r="L36" s="837"/>
      <c r="M36" s="837"/>
      <c r="N36" s="837"/>
      <c r="O36" s="837"/>
      <c r="P36" s="837"/>
      <c r="Q36" s="837"/>
      <c r="R36" s="837"/>
      <c r="S36" s="837"/>
      <c r="T36" s="837"/>
      <c r="U36" s="759"/>
      <c r="V36" s="72" t="s">
        <v>221</v>
      </c>
    </row>
    <row r="37" spans="1:22" ht="12.75" customHeight="1">
      <c r="A37" s="8"/>
      <c r="B37" s="184" t="s">
        <v>213</v>
      </c>
      <c r="C37" s="524">
        <v>0</v>
      </c>
      <c r="D37" s="525">
        <v>12852</v>
      </c>
      <c r="E37" s="555" t="s">
        <v>75</v>
      </c>
      <c r="F37" s="555" t="s">
        <v>75</v>
      </c>
      <c r="G37" s="555" t="s">
        <v>75</v>
      </c>
      <c r="H37" s="555" t="s">
        <v>75</v>
      </c>
      <c r="I37" s="555" t="s">
        <v>75</v>
      </c>
      <c r="J37" s="555" t="s">
        <v>75</v>
      </c>
      <c r="K37" s="561" t="s">
        <v>75</v>
      </c>
      <c r="L37" s="555" t="s">
        <v>75</v>
      </c>
      <c r="M37" s="555" t="s">
        <v>75</v>
      </c>
      <c r="N37" s="555" t="s">
        <v>75</v>
      </c>
      <c r="O37" s="555" t="s">
        <v>75</v>
      </c>
      <c r="P37" s="555" t="s">
        <v>75</v>
      </c>
      <c r="Q37" s="555" t="s">
        <v>75</v>
      </c>
      <c r="R37" s="555" t="s">
        <v>75</v>
      </c>
      <c r="S37" s="555" t="s">
        <v>75</v>
      </c>
      <c r="T37" s="555" t="s">
        <v>75</v>
      </c>
      <c r="U37" s="561" t="s">
        <v>75</v>
      </c>
      <c r="V37" s="449" t="s">
        <v>213</v>
      </c>
    </row>
    <row r="38" spans="1:22" ht="12.75" customHeight="1">
      <c r="A38" s="8"/>
      <c r="B38" s="497" t="s">
        <v>1</v>
      </c>
      <c r="C38" s="86"/>
      <c r="D38" s="85"/>
      <c r="E38" s="709"/>
      <c r="F38" s="709"/>
      <c r="G38" s="709"/>
      <c r="H38" s="709"/>
      <c r="I38" s="709"/>
      <c r="J38" s="709">
        <v>1501</v>
      </c>
      <c r="K38" s="801">
        <v>1525</v>
      </c>
      <c r="L38" s="709">
        <v>1553</v>
      </c>
      <c r="M38" s="709">
        <v>1498</v>
      </c>
      <c r="N38" s="709">
        <v>1498</v>
      </c>
      <c r="O38" s="709">
        <v>1323</v>
      </c>
      <c r="P38" s="709">
        <v>1144</v>
      </c>
      <c r="Q38" s="709">
        <v>1007</v>
      </c>
      <c r="R38" s="709">
        <v>1011</v>
      </c>
      <c r="S38" s="778">
        <v>1011</v>
      </c>
      <c r="T38" s="778">
        <v>1011</v>
      </c>
      <c r="U38" s="801">
        <v>1161</v>
      </c>
      <c r="V38" s="73" t="s">
        <v>1</v>
      </c>
    </row>
    <row r="39" spans="1:22" ht="12.75" customHeight="1">
      <c r="A39" s="8"/>
      <c r="B39" s="184" t="s">
        <v>212</v>
      </c>
      <c r="C39" s="524"/>
      <c r="D39" s="525"/>
      <c r="E39" s="711"/>
      <c r="F39" s="711"/>
      <c r="G39" s="711"/>
      <c r="H39" s="711"/>
      <c r="I39" s="711"/>
      <c r="J39" s="711"/>
      <c r="K39" s="804"/>
      <c r="L39" s="711"/>
      <c r="M39" s="711"/>
      <c r="N39" s="711"/>
      <c r="O39" s="711"/>
      <c r="P39" s="711"/>
      <c r="Q39" s="711">
        <v>8447</v>
      </c>
      <c r="R39" s="711">
        <v>8449</v>
      </c>
      <c r="S39" s="711">
        <v>8452</v>
      </c>
      <c r="T39" s="711">
        <v>8486</v>
      </c>
      <c r="U39" s="804">
        <v>8486</v>
      </c>
      <c r="V39" s="449" t="s">
        <v>212</v>
      </c>
    </row>
    <row r="40" spans="1:22" ht="12.75" customHeight="1">
      <c r="A40" s="8"/>
      <c r="B40" s="497" t="s">
        <v>57</v>
      </c>
      <c r="C40" s="88">
        <v>17374</v>
      </c>
      <c r="D40" s="87">
        <v>23228</v>
      </c>
      <c r="E40" s="554">
        <v>21941</v>
      </c>
      <c r="F40" s="709">
        <v>17872</v>
      </c>
      <c r="G40" s="709">
        <v>17571</v>
      </c>
      <c r="H40" s="709">
        <v>17030</v>
      </c>
      <c r="I40" s="709">
        <v>16841</v>
      </c>
      <c r="J40" s="709">
        <v>16004</v>
      </c>
      <c r="K40" s="801">
        <v>17499</v>
      </c>
      <c r="L40" s="709">
        <f>16320+1909</f>
        <v>18229</v>
      </c>
      <c r="M40" s="709">
        <v>17041</v>
      </c>
      <c r="N40" s="709">
        <v>17079</v>
      </c>
      <c r="O40" s="709">
        <v>17607</v>
      </c>
      <c r="P40" s="709">
        <v>17773</v>
      </c>
      <c r="Q40" s="709">
        <v>18200</v>
      </c>
      <c r="R40" s="709">
        <v>18167</v>
      </c>
      <c r="S40" s="709">
        <v>18607</v>
      </c>
      <c r="T40" s="709">
        <v>18967</v>
      </c>
      <c r="U40" s="801">
        <v>19077</v>
      </c>
      <c r="V40" s="73" t="s">
        <v>57</v>
      </c>
    </row>
    <row r="41" spans="1:22" ht="12.75" customHeight="1">
      <c r="A41" s="8"/>
      <c r="B41" s="182" t="s">
        <v>43</v>
      </c>
      <c r="C41" s="827" t="s">
        <v>75</v>
      </c>
      <c r="D41" s="828" t="s">
        <v>75</v>
      </c>
      <c r="E41" s="838" t="s">
        <v>75</v>
      </c>
      <c r="F41" s="838" t="s">
        <v>75</v>
      </c>
      <c r="G41" s="838" t="s">
        <v>75</v>
      </c>
      <c r="H41" s="838" t="s">
        <v>75</v>
      </c>
      <c r="I41" s="838" t="s">
        <v>75</v>
      </c>
      <c r="J41" s="838" t="s">
        <v>75</v>
      </c>
      <c r="K41" s="839" t="s">
        <v>75</v>
      </c>
      <c r="L41" s="838" t="s">
        <v>75</v>
      </c>
      <c r="M41" s="838" t="s">
        <v>75</v>
      </c>
      <c r="N41" s="838" t="s">
        <v>75</v>
      </c>
      <c r="O41" s="838" t="s">
        <v>75</v>
      </c>
      <c r="P41" s="838" t="s">
        <v>75</v>
      </c>
      <c r="Q41" s="838" t="s">
        <v>75</v>
      </c>
      <c r="R41" s="840" t="s">
        <v>75</v>
      </c>
      <c r="S41" s="840" t="s">
        <v>75</v>
      </c>
      <c r="T41" s="840" t="s">
        <v>75</v>
      </c>
      <c r="U41" s="839" t="s">
        <v>75</v>
      </c>
      <c r="V41" s="542" t="s">
        <v>43</v>
      </c>
    </row>
    <row r="42" spans="1:22" ht="12.75" customHeight="1">
      <c r="A42" s="8"/>
      <c r="B42" s="497" t="s">
        <v>73</v>
      </c>
      <c r="C42" s="86"/>
      <c r="D42" s="85"/>
      <c r="E42" s="709"/>
      <c r="F42" s="709"/>
      <c r="G42" s="709">
        <v>2741</v>
      </c>
      <c r="H42" s="709"/>
      <c r="I42" s="709"/>
      <c r="J42" s="709"/>
      <c r="K42" s="801"/>
      <c r="L42" s="709"/>
      <c r="M42" s="709"/>
      <c r="N42" s="709"/>
      <c r="O42" s="709"/>
      <c r="P42" s="709"/>
      <c r="Q42" s="709"/>
      <c r="R42" s="709"/>
      <c r="S42" s="709"/>
      <c r="T42" s="709"/>
      <c r="U42" s="801"/>
      <c r="V42" s="73" t="s">
        <v>73</v>
      </c>
    </row>
    <row r="43" spans="1:22" ht="12.75" customHeight="1">
      <c r="A43" s="8"/>
      <c r="B43" s="184" t="s">
        <v>44</v>
      </c>
      <c r="C43" s="529">
        <v>32545</v>
      </c>
      <c r="D43" s="528">
        <v>31417</v>
      </c>
      <c r="E43" s="794">
        <v>27104</v>
      </c>
      <c r="F43" s="711">
        <v>19894</v>
      </c>
      <c r="G43" s="711">
        <v>20394</v>
      </c>
      <c r="H43" s="711">
        <v>19553</v>
      </c>
      <c r="I43" s="711">
        <v>19497</v>
      </c>
      <c r="J43" s="711">
        <v>18917</v>
      </c>
      <c r="K43" s="805">
        <v>18339</v>
      </c>
      <c r="L43" s="794">
        <f>29+10888</f>
        <v>10917</v>
      </c>
      <c r="M43" s="794">
        <v>10464</v>
      </c>
      <c r="N43" s="794">
        <f>21+11495</f>
        <v>11516</v>
      </c>
      <c r="O43" s="794">
        <f>21+9121</f>
        <v>9142</v>
      </c>
      <c r="P43" s="794">
        <v>8794</v>
      </c>
      <c r="Q43" s="794">
        <v>8289</v>
      </c>
      <c r="R43" s="794">
        <v>7869</v>
      </c>
      <c r="S43" s="794">
        <v>7360</v>
      </c>
      <c r="T43" s="794">
        <v>6816</v>
      </c>
      <c r="U43" s="805">
        <v>6458</v>
      </c>
      <c r="V43" s="450" t="s">
        <v>44</v>
      </c>
    </row>
    <row r="44" spans="2:22" ht="25.5" customHeight="1">
      <c r="B44" s="1037" t="s">
        <v>272</v>
      </c>
      <c r="C44" s="1037"/>
      <c r="D44" s="1037"/>
      <c r="E44" s="1037"/>
      <c r="F44" s="1037"/>
      <c r="G44" s="1037"/>
      <c r="H44" s="1037"/>
      <c r="I44" s="1037"/>
      <c r="J44" s="1037"/>
      <c r="K44" s="1037"/>
      <c r="L44" s="1037"/>
      <c r="M44" s="1037"/>
      <c r="N44" s="1037"/>
      <c r="O44" s="1037"/>
      <c r="P44" s="1037"/>
      <c r="Q44" s="1037"/>
      <c r="R44" s="1037"/>
      <c r="S44" s="1069"/>
      <c r="T44" s="1069"/>
      <c r="U44" s="1069"/>
      <c r="V44" s="1037"/>
    </row>
    <row r="45" spans="2:9" ht="11.25">
      <c r="B45" s="387" t="s">
        <v>0</v>
      </c>
      <c r="C45" s="402"/>
      <c r="D45" s="402"/>
      <c r="E45" s="402"/>
      <c r="F45" s="402"/>
      <c r="G45" s="402"/>
      <c r="H45" s="402"/>
      <c r="I45" s="402"/>
    </row>
    <row r="46" spans="2:9" ht="12.75" customHeight="1">
      <c r="B46" s="403" t="s">
        <v>105</v>
      </c>
      <c r="C46" s="407"/>
      <c r="D46" s="407"/>
      <c r="E46" s="407"/>
      <c r="F46" s="407"/>
      <c r="G46" s="407"/>
      <c r="H46" s="407"/>
      <c r="I46" s="407"/>
    </row>
    <row r="47" spans="2:9" ht="12.75" customHeight="1">
      <c r="B47" s="407" t="s">
        <v>198</v>
      </c>
      <c r="C47" s="407"/>
      <c r="D47" s="407"/>
      <c r="E47" s="407"/>
      <c r="F47" s="407"/>
      <c r="G47" s="407"/>
      <c r="H47" s="407"/>
      <c r="I47" s="407"/>
    </row>
    <row r="48" spans="2:9" ht="11.25">
      <c r="B48" s="389" t="s">
        <v>199</v>
      </c>
      <c r="D48" s="400"/>
      <c r="E48" s="400"/>
      <c r="F48" s="400"/>
      <c r="G48" s="400"/>
      <c r="H48" s="400"/>
      <c r="I48" s="400"/>
    </row>
    <row r="49" ht="11.25">
      <c r="C49" s="244"/>
    </row>
    <row r="50" spans="2:19" ht="12.75">
      <c r="B50" s="988"/>
      <c r="C50" s="988"/>
      <c r="D50" s="988"/>
      <c r="E50" s="988"/>
      <c r="F50" s="988"/>
      <c r="G50" s="988"/>
      <c r="H50" s="988"/>
      <c r="I50" s="988"/>
      <c r="J50" s="988"/>
      <c r="K50" s="988"/>
      <c r="L50" s="988"/>
      <c r="M50" s="988"/>
      <c r="N50" s="988"/>
      <c r="O50" s="988"/>
      <c r="P50" s="988"/>
      <c r="Q50" s="988"/>
      <c r="R50" s="988"/>
      <c r="S50" s="988"/>
    </row>
    <row r="51" spans="2:19" ht="12.75">
      <c r="B51" s="988"/>
      <c r="C51" s="988"/>
      <c r="D51" s="988"/>
      <c r="E51" s="988"/>
      <c r="F51" s="988"/>
      <c r="G51" s="988"/>
      <c r="H51" s="988"/>
      <c r="I51" s="988"/>
      <c r="J51" s="988"/>
      <c r="K51" s="988"/>
      <c r="L51" s="988"/>
      <c r="M51" s="988"/>
      <c r="N51" s="988"/>
      <c r="O51" s="988"/>
      <c r="P51" s="988"/>
      <c r="Q51" s="988"/>
      <c r="R51" s="988"/>
      <c r="S51" s="988"/>
    </row>
  </sheetData>
  <sheetProtection/>
  <mergeCells count="3">
    <mergeCell ref="B2:V2"/>
    <mergeCell ref="B3:V3"/>
    <mergeCell ref="B44:V44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3"/>
  <dimension ref="A1:AG47"/>
  <sheetViews>
    <sheetView zoomScalePageLayoutView="0" workbookViewId="0" topLeftCell="A1">
      <selection activeCell="AG44" sqref="AG44"/>
    </sheetView>
  </sheetViews>
  <sheetFormatPr defaultColWidth="9.140625" defaultRowHeight="12.75"/>
  <cols>
    <col min="1" max="1" width="3.7109375" style="3" customWidth="1"/>
    <col min="2" max="2" width="4.00390625" style="3" customWidth="1"/>
    <col min="3" max="4" width="5.7109375" style="3" hidden="1" customWidth="1"/>
    <col min="5" max="20" width="5.7109375" style="3" customWidth="1"/>
    <col min="21" max="28" width="6.00390625" style="3" customWidth="1"/>
    <col min="29" max="30" width="6.00390625" style="903" customWidth="1"/>
    <col min="31" max="31" width="6.28125" style="3" bestFit="1" customWidth="1"/>
    <col min="32" max="32" width="1.8515625" style="3" customWidth="1"/>
    <col min="33" max="33" width="6.57421875" style="3" customWidth="1"/>
    <col min="34" max="16384" width="9.140625" style="3" customWidth="1"/>
  </cols>
  <sheetData>
    <row r="1" spans="2:31" ht="14.25" customHeight="1">
      <c r="B1" s="1023"/>
      <c r="C1" s="1023"/>
      <c r="D1" s="30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AE1" s="16" t="s">
        <v>145</v>
      </c>
    </row>
    <row r="2" spans="2:32" s="61" customFormat="1" ht="30" customHeight="1">
      <c r="B2" s="1024" t="s">
        <v>140</v>
      </c>
      <c r="C2" s="1024"/>
      <c r="D2" s="1024"/>
      <c r="E2" s="1024"/>
      <c r="F2" s="1024"/>
      <c r="G2" s="1024"/>
      <c r="H2" s="1024"/>
      <c r="I2" s="1024"/>
      <c r="J2" s="1024"/>
      <c r="K2" s="1024"/>
      <c r="L2" s="1024"/>
      <c r="M2" s="1024"/>
      <c r="N2" s="1024"/>
      <c r="O2" s="1024"/>
      <c r="P2" s="1024"/>
      <c r="Q2" s="1024"/>
      <c r="R2" s="1024"/>
      <c r="S2" s="1024"/>
      <c r="T2" s="1024"/>
      <c r="U2" s="1024"/>
      <c r="V2" s="1024"/>
      <c r="W2" s="1024"/>
      <c r="X2" s="1024"/>
      <c r="Y2" s="1024"/>
      <c r="Z2" s="1024"/>
      <c r="AA2" s="1024"/>
      <c r="AB2" s="1024"/>
      <c r="AC2" s="1024"/>
      <c r="AD2" s="1024"/>
      <c r="AE2" s="1024"/>
      <c r="AF2" s="94"/>
    </row>
    <row r="3" spans="2:32" ht="18" customHeight="1">
      <c r="B3" s="1025" t="s">
        <v>10</v>
      </c>
      <c r="C3" s="1025"/>
      <c r="D3" s="1025"/>
      <c r="E3" s="1025"/>
      <c r="F3" s="1025"/>
      <c r="G3" s="1025"/>
      <c r="H3" s="1025"/>
      <c r="I3" s="1025"/>
      <c r="J3" s="1025"/>
      <c r="K3" s="1025"/>
      <c r="L3" s="1025"/>
      <c r="M3" s="1025"/>
      <c r="N3" s="1025"/>
      <c r="O3" s="1025"/>
      <c r="P3" s="1025"/>
      <c r="Q3" s="1025"/>
      <c r="R3" s="1025"/>
      <c r="S3" s="1025"/>
      <c r="T3" s="1025"/>
      <c r="U3" s="1025"/>
      <c r="V3" s="1025"/>
      <c r="W3" s="1025"/>
      <c r="X3" s="1025"/>
      <c r="Y3" s="1025"/>
      <c r="Z3" s="1025"/>
      <c r="AA3" s="1025"/>
      <c r="AB3" s="1025"/>
      <c r="AC3" s="1025"/>
      <c r="AD3" s="1025"/>
      <c r="AE3" s="1025"/>
      <c r="AF3" s="95"/>
    </row>
    <row r="4" spans="2:33" ht="24.75" customHeight="1">
      <c r="B4" s="4"/>
      <c r="C4" s="115">
        <v>1970</v>
      </c>
      <c r="D4" s="115">
        <v>1980</v>
      </c>
      <c r="E4" s="58">
        <v>1990</v>
      </c>
      <c r="F4" s="59">
        <v>1991</v>
      </c>
      <c r="G4" s="59">
        <v>1992</v>
      </c>
      <c r="H4" s="59">
        <v>1993</v>
      </c>
      <c r="I4" s="59">
        <v>1994</v>
      </c>
      <c r="J4" s="59">
        <v>1995</v>
      </c>
      <c r="K4" s="59">
        <v>1996</v>
      </c>
      <c r="L4" s="59">
        <v>1997</v>
      </c>
      <c r="M4" s="59">
        <v>1998</v>
      </c>
      <c r="N4" s="59">
        <v>1999</v>
      </c>
      <c r="O4" s="59">
        <v>2000</v>
      </c>
      <c r="P4" s="59">
        <v>2001</v>
      </c>
      <c r="Q4" s="59">
        <v>2002</v>
      </c>
      <c r="R4" s="59">
        <v>2003</v>
      </c>
      <c r="S4" s="59">
        <v>2004</v>
      </c>
      <c r="T4" s="59">
        <v>2005</v>
      </c>
      <c r="U4" s="59">
        <v>2006</v>
      </c>
      <c r="V4" s="59">
        <v>2007</v>
      </c>
      <c r="W4" s="59">
        <v>2008</v>
      </c>
      <c r="X4" s="59">
        <v>2009</v>
      </c>
      <c r="Y4" s="59">
        <v>2010</v>
      </c>
      <c r="Z4" s="59">
        <v>2011</v>
      </c>
      <c r="AA4" s="59">
        <v>2012</v>
      </c>
      <c r="AB4" s="59">
        <v>2013</v>
      </c>
      <c r="AC4" s="59">
        <v>2014</v>
      </c>
      <c r="AD4" s="506">
        <v>2015</v>
      </c>
      <c r="AE4" s="6"/>
      <c r="AF4" s="6"/>
      <c r="AG4" s="913" t="s">
        <v>259</v>
      </c>
    </row>
    <row r="5" spans="2:33" ht="12.75" customHeight="1">
      <c r="B5" s="57" t="s">
        <v>222</v>
      </c>
      <c r="C5" s="116"/>
      <c r="D5" s="116"/>
      <c r="E5" s="152">
        <v>334.73892943141385</v>
      </c>
      <c r="F5" s="99">
        <v>344.1547978726767</v>
      </c>
      <c r="G5" s="99">
        <v>352.08101941861736</v>
      </c>
      <c r="H5" s="99">
        <v>357.7235281397274</v>
      </c>
      <c r="I5" s="99">
        <v>364.4830777005562</v>
      </c>
      <c r="J5" s="159">
        <v>371.30771339890634</v>
      </c>
      <c r="K5" s="159">
        <v>380.1392441934796</v>
      </c>
      <c r="L5" s="159">
        <v>379.7202112087683</v>
      </c>
      <c r="M5" s="159">
        <v>389.8074042864992</v>
      </c>
      <c r="N5" s="159">
        <v>401.05368352283784</v>
      </c>
      <c r="O5" s="159">
        <v>410.294890784164</v>
      </c>
      <c r="P5" s="159">
        <v>419.51586180889626</v>
      </c>
      <c r="Q5" s="159">
        <v>426.86835558445233</v>
      </c>
      <c r="R5" s="159">
        <v>431.9467355046746</v>
      </c>
      <c r="S5" s="159">
        <v>437.9328565534436</v>
      </c>
      <c r="T5" s="159">
        <v>445.5974062685793</v>
      </c>
      <c r="U5" s="159">
        <v>452.1136656871546</v>
      </c>
      <c r="V5" s="159">
        <v>460.2825437903406</v>
      </c>
      <c r="W5" s="159">
        <v>468.28557818894836</v>
      </c>
      <c r="X5" s="159">
        <v>471.4671038283876</v>
      </c>
      <c r="Y5" s="159">
        <v>477.30886801535985</v>
      </c>
      <c r="Z5" s="159">
        <v>482.57391483553425</v>
      </c>
      <c r="AA5" s="159">
        <v>485.7309685761063</v>
      </c>
      <c r="AB5" s="159">
        <v>488.0024608926553</v>
      </c>
      <c r="AC5" s="159">
        <v>491.2242535127333</v>
      </c>
      <c r="AD5" s="162">
        <v>498.22126847962045</v>
      </c>
      <c r="AE5" s="505" t="s">
        <v>222</v>
      </c>
      <c r="AF5" s="20"/>
      <c r="AG5" s="914">
        <f>AD5/AC5-1</f>
        <v>0.014244033996390959</v>
      </c>
    </row>
    <row r="6" spans="2:33" ht="12.75" customHeight="1">
      <c r="B6" s="55" t="s">
        <v>227</v>
      </c>
      <c r="C6" s="160">
        <v>172.6392206480121</v>
      </c>
      <c r="D6" s="160">
        <v>286.89557005643985</v>
      </c>
      <c r="E6" s="161">
        <v>394.19717001124974</v>
      </c>
      <c r="F6" s="162">
        <v>401.97616648464145</v>
      </c>
      <c r="G6" s="162">
        <v>409.4315391531671</v>
      </c>
      <c r="H6" s="162">
        <v>413.7678435394811</v>
      </c>
      <c r="I6" s="162">
        <v>419.86308159702173</v>
      </c>
      <c r="J6" s="162">
        <v>425.4561695317549</v>
      </c>
      <c r="K6" s="162">
        <v>433.2284160505017</v>
      </c>
      <c r="L6" s="162">
        <v>429.08189972002697</v>
      </c>
      <c r="M6" s="162">
        <v>439.3101786416846</v>
      </c>
      <c r="N6" s="162">
        <v>450.717576573102</v>
      </c>
      <c r="O6" s="162">
        <v>458.7260122977415</v>
      </c>
      <c r="P6" s="162">
        <v>466.6949731411316</v>
      </c>
      <c r="Q6" s="162">
        <v>472.4289248778667</v>
      </c>
      <c r="R6" s="162">
        <v>475.9672519157895</v>
      </c>
      <c r="S6" s="162">
        <v>479.8358648627602</v>
      </c>
      <c r="T6" s="162">
        <v>485.9291006839798</v>
      </c>
      <c r="U6" s="162">
        <v>490.84777569450574</v>
      </c>
      <c r="V6" s="162">
        <v>495.37018358192626</v>
      </c>
      <c r="W6" s="162">
        <v>498.0505692946585</v>
      </c>
      <c r="X6" s="162">
        <v>499.55994643974594</v>
      </c>
      <c r="Y6" s="162">
        <v>504.7502851355731</v>
      </c>
      <c r="Z6" s="162">
        <v>508.0698990605153</v>
      </c>
      <c r="AA6" s="162">
        <v>508.97479923823175</v>
      </c>
      <c r="AB6" s="162">
        <v>508.43434639627964</v>
      </c>
      <c r="AC6" s="162">
        <v>510.5439773182715</v>
      </c>
      <c r="AD6" s="162">
        <v>514.6980668655992</v>
      </c>
      <c r="AE6" s="503" t="s">
        <v>227</v>
      </c>
      <c r="AF6" s="20"/>
      <c r="AG6" s="915">
        <f aca="true" t="shared" si="0" ref="AG6:AG44">AD6/AC6-1</f>
        <v>0.00813659494946517</v>
      </c>
    </row>
    <row r="7" spans="2:33" ht="12.75" customHeight="1">
      <c r="B7" s="56" t="s">
        <v>231</v>
      </c>
      <c r="C7" s="117"/>
      <c r="D7" s="117"/>
      <c r="E7" s="153">
        <v>139.5641111593822</v>
      </c>
      <c r="F7" s="163">
        <v>152.6241412420917</v>
      </c>
      <c r="G7" s="163">
        <v>160.96456946545277</v>
      </c>
      <c r="H7" s="163">
        <v>170.4191391978457</v>
      </c>
      <c r="I7" s="163">
        <v>178.8068185805643</v>
      </c>
      <c r="J7" s="163">
        <v>188.88874685250204</v>
      </c>
      <c r="K7" s="163">
        <v>200.4779365232941</v>
      </c>
      <c r="L7" s="163">
        <v>212.03792263825412</v>
      </c>
      <c r="M7" s="163">
        <v>220.97248416345383</v>
      </c>
      <c r="N7" s="163">
        <v>230.2357967117974</v>
      </c>
      <c r="O7" s="163">
        <v>242.3750844305203</v>
      </c>
      <c r="P7" s="163">
        <v>253.60434310966863</v>
      </c>
      <c r="Q7" s="163">
        <v>265.1948934611338</v>
      </c>
      <c r="R7" s="163">
        <v>274.47046942220857</v>
      </c>
      <c r="S7" s="163">
        <v>286.7236396665644</v>
      </c>
      <c r="T7" s="163">
        <v>298.89343831899333</v>
      </c>
      <c r="U7" s="163">
        <v>310.1438846307503</v>
      </c>
      <c r="V7" s="163">
        <v>330.2054681318257</v>
      </c>
      <c r="W7" s="163">
        <v>357.21537019386005</v>
      </c>
      <c r="X7" s="163">
        <v>365.93508147193023</v>
      </c>
      <c r="Y7" s="163">
        <v>373.98417773885933</v>
      </c>
      <c r="Z7" s="163">
        <v>386.03876968680845</v>
      </c>
      <c r="AA7" s="163">
        <v>397.28123387337877</v>
      </c>
      <c r="AB7" s="163">
        <v>409.6589343006267</v>
      </c>
      <c r="AC7" s="163">
        <v>416.69488270318834</v>
      </c>
      <c r="AD7" s="163">
        <v>434.16532630671026</v>
      </c>
      <c r="AE7" s="504" t="s">
        <v>231</v>
      </c>
      <c r="AF7" s="20"/>
      <c r="AG7" s="916">
        <f t="shared" si="0"/>
        <v>0.04192622546787095</v>
      </c>
    </row>
    <row r="8" spans="1:33" ht="12.75" customHeight="1">
      <c r="A8" s="8"/>
      <c r="B8" s="9" t="s">
        <v>62</v>
      </c>
      <c r="C8" s="164">
        <v>213.4108331785989</v>
      </c>
      <c r="D8" s="164">
        <v>320.24913584337367</v>
      </c>
      <c r="E8" s="165">
        <v>386.91986312171605</v>
      </c>
      <c r="F8" s="166">
        <v>396.1286358397433</v>
      </c>
      <c r="G8" s="166">
        <v>399.37153361946514</v>
      </c>
      <c r="H8" s="166">
        <v>406.8657690791793</v>
      </c>
      <c r="I8" s="166">
        <v>415.59313420937457</v>
      </c>
      <c r="J8" s="166">
        <v>421.3182685636772</v>
      </c>
      <c r="K8" s="166">
        <v>426.6602335090685</v>
      </c>
      <c r="L8" s="166">
        <v>433.2053212122449</v>
      </c>
      <c r="M8" s="166">
        <v>439.7731607346645</v>
      </c>
      <c r="N8" s="166">
        <v>447.65865309253707</v>
      </c>
      <c r="O8" s="166">
        <v>455.83038938115527</v>
      </c>
      <c r="P8" s="166">
        <v>459.7455315248467</v>
      </c>
      <c r="Q8" s="166">
        <v>462.2857393371318</v>
      </c>
      <c r="R8" s="166">
        <v>463.7045767961879</v>
      </c>
      <c r="S8" s="166">
        <v>466.63747485604813</v>
      </c>
      <c r="T8" s="166">
        <v>467.9255306295595</v>
      </c>
      <c r="U8" s="166">
        <v>470.14691435636183</v>
      </c>
      <c r="V8" s="166">
        <v>472.6875729009814</v>
      </c>
      <c r="W8" s="166">
        <v>476.51203190155746</v>
      </c>
      <c r="X8" s="166">
        <v>478.9446032968001</v>
      </c>
      <c r="Y8" s="166">
        <v>479.57309385146567</v>
      </c>
      <c r="Z8" s="166">
        <v>487.2857226551058</v>
      </c>
      <c r="AA8" s="166">
        <v>487.4510399097193</v>
      </c>
      <c r="AB8" s="166">
        <v>492.3430618808605</v>
      </c>
      <c r="AC8" s="166">
        <v>495.9007851904297</v>
      </c>
      <c r="AD8" s="166">
        <v>500.5466745680378</v>
      </c>
      <c r="AE8" s="496" t="s">
        <v>62</v>
      </c>
      <c r="AF8" s="20"/>
      <c r="AG8" s="917">
        <f t="shared" si="0"/>
        <v>0.009368586451872662</v>
      </c>
    </row>
    <row r="9" spans="1:33" ht="12.75" customHeight="1">
      <c r="A9" s="8"/>
      <c r="B9" s="55" t="s">
        <v>45</v>
      </c>
      <c r="C9" s="167">
        <v>18.79062812724497</v>
      </c>
      <c r="D9" s="167">
        <v>92.37717103250189</v>
      </c>
      <c r="E9" s="168">
        <v>151.96206277599646</v>
      </c>
      <c r="F9" s="169">
        <v>158.10662948426872</v>
      </c>
      <c r="G9" s="169">
        <v>166.3315011686105</v>
      </c>
      <c r="H9" s="169">
        <v>177.95427602404465</v>
      </c>
      <c r="I9" s="169">
        <v>188.41749631975063</v>
      </c>
      <c r="J9" s="169">
        <v>196.49695904989017</v>
      </c>
      <c r="K9" s="169">
        <v>204.65604819411155</v>
      </c>
      <c r="L9" s="169">
        <v>208.9175680896272</v>
      </c>
      <c r="M9" s="169">
        <v>219.83820656444283</v>
      </c>
      <c r="N9" s="169">
        <v>232.99095237188308</v>
      </c>
      <c r="O9" s="169">
        <v>244.51902872678315</v>
      </c>
      <c r="P9" s="169">
        <v>265.05897012447235</v>
      </c>
      <c r="Q9" s="169">
        <v>278.5341526865779</v>
      </c>
      <c r="R9" s="169">
        <v>298.16089998033607</v>
      </c>
      <c r="S9" s="169">
        <v>317.1459775435572</v>
      </c>
      <c r="T9" s="169">
        <v>332.67382068587307</v>
      </c>
      <c r="U9" s="481">
        <v>233.43699113906013</v>
      </c>
      <c r="V9" s="169">
        <v>276.87103568208676</v>
      </c>
      <c r="W9" s="169">
        <v>316.88205317204665</v>
      </c>
      <c r="X9" s="169">
        <v>337.1165299471851</v>
      </c>
      <c r="Y9" s="169">
        <v>353.1344550210186</v>
      </c>
      <c r="Z9" s="169">
        <v>367.8064161816262</v>
      </c>
      <c r="AA9" s="169">
        <v>385.33598222649795</v>
      </c>
      <c r="AB9" s="169">
        <v>401.64638859833246</v>
      </c>
      <c r="AC9" s="169">
        <v>418.4694727915006</v>
      </c>
      <c r="AD9" s="169">
        <v>442.00384020540736</v>
      </c>
      <c r="AE9" s="503" t="s">
        <v>45</v>
      </c>
      <c r="AF9" s="20"/>
      <c r="AG9" s="918">
        <f t="shared" si="0"/>
        <v>0.05623914991197587</v>
      </c>
    </row>
    <row r="10" spans="1:33" ht="12.75" customHeight="1">
      <c r="A10" s="8"/>
      <c r="B10" s="10" t="s">
        <v>47</v>
      </c>
      <c r="C10" s="170">
        <v>69.82907778622864</v>
      </c>
      <c r="D10" s="170">
        <v>172.9378161276561</v>
      </c>
      <c r="E10" s="171">
        <v>233.87597411526707</v>
      </c>
      <c r="F10" s="172">
        <v>240.4837291424001</v>
      </c>
      <c r="G10" s="172">
        <v>249.86206742266407</v>
      </c>
      <c r="H10" s="172">
        <v>274.15709657032556</v>
      </c>
      <c r="I10" s="172">
        <v>282.9643320180533</v>
      </c>
      <c r="J10" s="172">
        <v>294.85656131604566</v>
      </c>
      <c r="K10" s="172">
        <v>309.67985002042366</v>
      </c>
      <c r="L10" s="172">
        <v>329.3038000801039</v>
      </c>
      <c r="M10" s="172">
        <v>339.46449533952705</v>
      </c>
      <c r="N10" s="172">
        <v>334.6674647390986</v>
      </c>
      <c r="O10" s="172">
        <v>336.08883166551453</v>
      </c>
      <c r="P10" s="172">
        <v>346.01784381456974</v>
      </c>
      <c r="Q10" s="172">
        <v>357.8134594843794</v>
      </c>
      <c r="R10" s="172">
        <v>363.500330101565</v>
      </c>
      <c r="S10" s="172">
        <v>374.11523156275877</v>
      </c>
      <c r="T10" s="172">
        <v>387.2135946156614</v>
      </c>
      <c r="U10" s="172">
        <v>400.6745311911676</v>
      </c>
      <c r="V10" s="172">
        <v>413.79738736367904</v>
      </c>
      <c r="W10" s="172">
        <v>424.2722105380479</v>
      </c>
      <c r="X10" s="172">
        <v>423.91652603189726</v>
      </c>
      <c r="Y10" s="172">
        <v>428.754394481941</v>
      </c>
      <c r="Z10" s="172">
        <v>436.12069740977176</v>
      </c>
      <c r="AA10" s="172">
        <v>447.50323907332785</v>
      </c>
      <c r="AB10" s="172">
        <v>449.86648648612663</v>
      </c>
      <c r="AC10" s="172">
        <v>458.6505856034313</v>
      </c>
      <c r="AD10" s="172">
        <v>484.68752093431743</v>
      </c>
      <c r="AE10" s="497" t="s">
        <v>47</v>
      </c>
      <c r="AF10" s="20"/>
      <c r="AG10" s="919">
        <f t="shared" si="0"/>
        <v>0.05676856445442069</v>
      </c>
    </row>
    <row r="11" spans="1:33" ht="12.75" customHeight="1">
      <c r="A11" s="8"/>
      <c r="B11" s="55" t="s">
        <v>58</v>
      </c>
      <c r="C11" s="167">
        <v>217.5242263661885</v>
      </c>
      <c r="D11" s="167">
        <v>271.2730257617649</v>
      </c>
      <c r="E11" s="168">
        <v>308.9496895832852</v>
      </c>
      <c r="F11" s="169">
        <v>308.7875034433487</v>
      </c>
      <c r="G11" s="169">
        <v>309.6260404654738</v>
      </c>
      <c r="H11" s="169">
        <v>311.3037226732186</v>
      </c>
      <c r="I11" s="169">
        <v>308.91068113728545</v>
      </c>
      <c r="J11" s="169">
        <v>319.748308283313</v>
      </c>
      <c r="K11" s="169">
        <v>329.63300747035</v>
      </c>
      <c r="L11" s="169">
        <v>336.7601787393812</v>
      </c>
      <c r="M11" s="169">
        <v>341.98187021661676</v>
      </c>
      <c r="N11" s="169">
        <v>345.82496876184325</v>
      </c>
      <c r="O11" s="169">
        <v>346.60432228148744</v>
      </c>
      <c r="P11" s="169">
        <v>348.82777849597846</v>
      </c>
      <c r="Q11" s="169">
        <v>350.75462890639875</v>
      </c>
      <c r="R11" s="169">
        <v>351.0143321896236</v>
      </c>
      <c r="S11" s="169">
        <v>354.0339338859316</v>
      </c>
      <c r="T11" s="169">
        <v>361.9892844883766</v>
      </c>
      <c r="U11" s="169">
        <v>370.84300517487884</v>
      </c>
      <c r="V11" s="169">
        <v>377.7523649094715</v>
      </c>
      <c r="W11" s="169">
        <v>380.8597772165624</v>
      </c>
      <c r="X11" s="169">
        <v>383.0934725365501</v>
      </c>
      <c r="Y11" s="169">
        <v>389.10623044735235</v>
      </c>
      <c r="Z11" s="169">
        <v>393.84010367500065</v>
      </c>
      <c r="AA11" s="169">
        <v>399.29868625937684</v>
      </c>
      <c r="AB11" s="169">
        <v>404.8384330848099</v>
      </c>
      <c r="AC11" s="169">
        <v>411.60694487266585</v>
      </c>
      <c r="AD11" s="169">
        <v>418.90973430115474</v>
      </c>
      <c r="AE11" s="503" t="s">
        <v>58</v>
      </c>
      <c r="AF11" s="20"/>
      <c r="AG11" s="918">
        <f t="shared" si="0"/>
        <v>0.01774214337114266</v>
      </c>
    </row>
    <row r="12" spans="1:33" ht="12.75" customHeight="1">
      <c r="A12" s="8"/>
      <c r="B12" s="10" t="s">
        <v>63</v>
      </c>
      <c r="C12" s="170">
        <v>193.50812395552978</v>
      </c>
      <c r="D12" s="170">
        <v>329.9801562524515</v>
      </c>
      <c r="E12" s="171">
        <v>461.07225228641846</v>
      </c>
      <c r="F12" s="172">
        <v>472.71511807899697</v>
      </c>
      <c r="G12" s="172">
        <v>480.29857054490844</v>
      </c>
      <c r="H12" s="172">
        <v>481.96440995979583</v>
      </c>
      <c r="I12" s="172">
        <v>489.5543402920455</v>
      </c>
      <c r="J12" s="172">
        <v>494.9973110275591</v>
      </c>
      <c r="K12" s="172">
        <v>500.477197516144</v>
      </c>
      <c r="L12" s="412">
        <v>449.9856984220761</v>
      </c>
      <c r="M12" s="172">
        <v>457.76349652719546</v>
      </c>
      <c r="N12" s="172">
        <v>467.6868401683351</v>
      </c>
      <c r="O12" s="172">
        <v>474.8256190102692</v>
      </c>
      <c r="P12" s="172">
        <v>477.77985645347354</v>
      </c>
      <c r="Q12" s="172">
        <v>481.25210512465486</v>
      </c>
      <c r="R12" s="172">
        <v>484.8742490625205</v>
      </c>
      <c r="S12" s="172">
        <v>487.0189517686054</v>
      </c>
      <c r="T12" s="172">
        <v>493.2131112601659</v>
      </c>
      <c r="U12" s="172">
        <v>498.326512090046</v>
      </c>
      <c r="V12" s="172">
        <v>500.9082639816953</v>
      </c>
      <c r="W12" s="172">
        <v>503.90224154047473</v>
      </c>
      <c r="X12" s="172">
        <v>510.22586088303166</v>
      </c>
      <c r="Y12" s="172">
        <v>527.3058353708547</v>
      </c>
      <c r="Z12" s="412">
        <v>534.4095886983228</v>
      </c>
      <c r="AA12" s="172">
        <v>539.3564278542133</v>
      </c>
      <c r="AB12" s="172">
        <v>542.9318734451273</v>
      </c>
      <c r="AC12" s="172">
        <v>546.853089891138</v>
      </c>
      <c r="AD12" s="172">
        <v>548.4737918336037</v>
      </c>
      <c r="AE12" s="10" t="s">
        <v>63</v>
      </c>
      <c r="AF12" s="20"/>
      <c r="AG12" s="919">
        <f t="shared" si="0"/>
        <v>0.0029636880040091462</v>
      </c>
    </row>
    <row r="13" spans="1:33" ht="12.75" customHeight="1">
      <c r="A13" s="8"/>
      <c r="B13" s="55" t="s">
        <v>48</v>
      </c>
      <c r="C13" s="167">
        <v>21.92163599708004</v>
      </c>
      <c r="D13" s="167">
        <v>85.6807266265339</v>
      </c>
      <c r="E13" s="168">
        <v>153.72358713033782</v>
      </c>
      <c r="F13" s="169">
        <v>167.8588287955711</v>
      </c>
      <c r="G13" s="169">
        <v>187.91731373523376</v>
      </c>
      <c r="H13" s="169">
        <v>214.91896825353837</v>
      </c>
      <c r="I13" s="169">
        <v>233.283497056437</v>
      </c>
      <c r="J13" s="169">
        <v>269.0472581939837</v>
      </c>
      <c r="K13" s="169">
        <v>289.1885894412217</v>
      </c>
      <c r="L13" s="169">
        <v>307.0030737778467</v>
      </c>
      <c r="M13" s="169">
        <v>326.9590360467418</v>
      </c>
      <c r="N13" s="169">
        <v>327.35057983942903</v>
      </c>
      <c r="O13" s="169">
        <v>333.08920673215005</v>
      </c>
      <c r="P13" s="169">
        <v>294.3961373607708</v>
      </c>
      <c r="Q13" s="169">
        <v>291.37791868759956</v>
      </c>
      <c r="R13" s="169">
        <v>317.65782250686186</v>
      </c>
      <c r="S13" s="169">
        <v>346.76380763145306</v>
      </c>
      <c r="T13" s="169">
        <v>365.57340638187605</v>
      </c>
      <c r="U13" s="169">
        <v>412.5428171447294</v>
      </c>
      <c r="V13" s="481">
        <v>391.32572248289046</v>
      </c>
      <c r="W13" s="169">
        <v>413.12680611496256</v>
      </c>
      <c r="X13" s="169">
        <v>409.28830186981077</v>
      </c>
      <c r="Y13" s="169">
        <v>415.6701713219921</v>
      </c>
      <c r="Z13" s="169">
        <v>433.13661083430105</v>
      </c>
      <c r="AA13" s="169">
        <v>456.07624449504385</v>
      </c>
      <c r="AB13" s="169">
        <v>477.649281550122</v>
      </c>
      <c r="AC13" s="169">
        <v>496.62704297763275</v>
      </c>
      <c r="AD13" s="169">
        <v>514.1556175642733</v>
      </c>
      <c r="AE13" s="55" t="s">
        <v>48</v>
      </c>
      <c r="AF13" s="20"/>
      <c r="AG13" s="918">
        <f t="shared" si="0"/>
        <v>0.03529524788167837</v>
      </c>
    </row>
    <row r="14" spans="1:33" ht="12.75" customHeight="1">
      <c r="A14" s="8"/>
      <c r="B14" s="10" t="s">
        <v>66</v>
      </c>
      <c r="C14" s="170">
        <v>132.42427302100162</v>
      </c>
      <c r="D14" s="170">
        <v>215.01806105802845</v>
      </c>
      <c r="E14" s="171">
        <v>227.60302041166415</v>
      </c>
      <c r="F14" s="172">
        <v>237.33555988286938</v>
      </c>
      <c r="G14" s="172">
        <v>242.11828035615278</v>
      </c>
      <c r="H14" s="172">
        <v>250.38583326309728</v>
      </c>
      <c r="I14" s="172">
        <v>262.93710531165493</v>
      </c>
      <c r="J14" s="172">
        <v>275.81548950087915</v>
      </c>
      <c r="K14" s="172">
        <v>291.8235655432146</v>
      </c>
      <c r="L14" s="172">
        <v>309.9510855350619</v>
      </c>
      <c r="M14" s="172">
        <v>323.7267035476363</v>
      </c>
      <c r="N14" s="172">
        <v>339.4570311827857</v>
      </c>
      <c r="O14" s="172">
        <v>347.75957835337925</v>
      </c>
      <c r="P14" s="172">
        <v>359.32258413591603</v>
      </c>
      <c r="Q14" s="172">
        <v>369.8509986022368</v>
      </c>
      <c r="R14" s="172">
        <v>379.00681856936376</v>
      </c>
      <c r="S14" s="172">
        <v>390.0060607947326</v>
      </c>
      <c r="T14" s="172">
        <v>400.18597219304604</v>
      </c>
      <c r="U14" s="172">
        <v>415.2294937603079</v>
      </c>
      <c r="V14" s="172">
        <v>428.36600852669443</v>
      </c>
      <c r="W14" s="172">
        <v>432.0271814305639</v>
      </c>
      <c r="X14" s="172">
        <v>424.38587884015317</v>
      </c>
      <c r="Y14" s="172">
        <v>415.5424304417464</v>
      </c>
      <c r="Z14" s="172">
        <v>417.4255521900047</v>
      </c>
      <c r="AA14" s="172">
        <v>415.3112323944199</v>
      </c>
      <c r="AB14" s="172">
        <v>419.7434763340622</v>
      </c>
      <c r="AC14" s="172">
        <v>424.7705040604249</v>
      </c>
      <c r="AD14" s="999">
        <v>424.809724174131</v>
      </c>
      <c r="AE14" s="10" t="s">
        <v>66</v>
      </c>
      <c r="AF14" s="20"/>
      <c r="AG14" s="919">
        <f t="shared" si="0"/>
        <v>9.233247914153253E-05</v>
      </c>
    </row>
    <row r="15" spans="1:33" ht="12.75" customHeight="1">
      <c r="A15" s="8"/>
      <c r="B15" s="55" t="s">
        <v>59</v>
      </c>
      <c r="C15" s="167">
        <v>25.768367370811774</v>
      </c>
      <c r="D15" s="167">
        <v>88.92119083467739</v>
      </c>
      <c r="E15" s="168">
        <v>168.94531335557548</v>
      </c>
      <c r="F15" s="169">
        <v>171.4532702919786</v>
      </c>
      <c r="G15" s="169">
        <v>175.35302126611955</v>
      </c>
      <c r="H15" s="169">
        <v>186.70811109116593</v>
      </c>
      <c r="I15" s="169">
        <v>196.8570914143383</v>
      </c>
      <c r="J15" s="169">
        <v>208.22552598464046</v>
      </c>
      <c r="K15" s="169">
        <v>220.09241088778745</v>
      </c>
      <c r="L15" s="169">
        <v>233.8016038154911</v>
      </c>
      <c r="M15" s="169">
        <v>248.9517823607655</v>
      </c>
      <c r="N15" s="169">
        <v>271.80608608668433</v>
      </c>
      <c r="O15" s="169">
        <v>294.8567961816868</v>
      </c>
      <c r="P15" s="169">
        <v>314.439552127362</v>
      </c>
      <c r="Q15" s="169">
        <v>334.0184888468702</v>
      </c>
      <c r="R15" s="169">
        <v>350.95242217150076</v>
      </c>
      <c r="S15" s="169">
        <v>371.3348839990694</v>
      </c>
      <c r="T15" s="169">
        <v>391.02590198602127</v>
      </c>
      <c r="U15" s="169">
        <v>411.6539241363362</v>
      </c>
      <c r="V15" s="169">
        <v>433.8267182970123</v>
      </c>
      <c r="W15" s="169">
        <v>452.82194408253645</v>
      </c>
      <c r="X15" s="169">
        <v>461.53670437021646</v>
      </c>
      <c r="Y15" s="169">
        <v>469.0001934661656</v>
      </c>
      <c r="Z15" s="169">
        <v>469.36680832363527</v>
      </c>
      <c r="AA15" s="169">
        <v>469.623573707368</v>
      </c>
      <c r="AB15" s="169">
        <v>468.9574914245305</v>
      </c>
      <c r="AC15" s="169">
        <v>470.40076743287773</v>
      </c>
      <c r="AD15" s="169">
        <v>478.5030213984971</v>
      </c>
      <c r="AE15" s="55" t="s">
        <v>59</v>
      </c>
      <c r="AF15" s="20"/>
      <c r="AG15" s="918">
        <f t="shared" si="0"/>
        <v>0.017224151248383057</v>
      </c>
    </row>
    <row r="16" spans="1:33" ht="12.75" customHeight="1">
      <c r="A16" s="8"/>
      <c r="B16" s="10" t="s">
        <v>64</v>
      </c>
      <c r="C16" s="170">
        <v>69.85600966727272</v>
      </c>
      <c r="D16" s="170">
        <v>200.77772993081848</v>
      </c>
      <c r="E16" s="171">
        <v>308.5729070258855</v>
      </c>
      <c r="F16" s="172">
        <v>321.43503238322774</v>
      </c>
      <c r="G16" s="172">
        <v>334.8230702234587</v>
      </c>
      <c r="H16" s="172">
        <v>342.4656965314883</v>
      </c>
      <c r="I16" s="172">
        <v>349.07757650007244</v>
      </c>
      <c r="J16" s="172">
        <v>360.4342560192527</v>
      </c>
      <c r="K16" s="172">
        <v>373.27376359497896</v>
      </c>
      <c r="L16" s="172">
        <v>385.9132739385381</v>
      </c>
      <c r="M16" s="172">
        <v>403.2391216834925</v>
      </c>
      <c r="N16" s="172">
        <v>420.6621681236727</v>
      </c>
      <c r="O16" s="172">
        <v>431.0930753954563</v>
      </c>
      <c r="P16" s="172">
        <v>442.3237975870421</v>
      </c>
      <c r="Q16" s="172">
        <v>447.8508308270679</v>
      </c>
      <c r="R16" s="412">
        <v>439.2347734297878</v>
      </c>
      <c r="S16" s="172">
        <v>451.3526756004169</v>
      </c>
      <c r="T16" s="172">
        <v>460.13156882107467</v>
      </c>
      <c r="U16" s="172">
        <v>466.87241119538544</v>
      </c>
      <c r="V16" s="172">
        <v>476.4764515330649</v>
      </c>
      <c r="W16" s="172">
        <v>478.92976172008593</v>
      </c>
      <c r="X16" s="172">
        <v>472.89920138093936</v>
      </c>
      <c r="Y16" s="172">
        <v>474.5831620316242</v>
      </c>
      <c r="Z16" s="172">
        <v>475.81903959225787</v>
      </c>
      <c r="AA16" s="172">
        <v>476.10812300748006</v>
      </c>
      <c r="AB16" s="172">
        <v>473.5217528631575</v>
      </c>
      <c r="AC16" s="172">
        <v>474.2673478212336</v>
      </c>
      <c r="AD16" s="172">
        <v>481.32523334496267</v>
      </c>
      <c r="AE16" s="10" t="s">
        <v>64</v>
      </c>
      <c r="AF16" s="20"/>
      <c r="AG16" s="919">
        <f t="shared" si="0"/>
        <v>0.014881660220027237</v>
      </c>
    </row>
    <row r="17" spans="1:33" ht="12.75" customHeight="1">
      <c r="A17" s="8"/>
      <c r="B17" s="55" t="s">
        <v>65</v>
      </c>
      <c r="C17" s="167">
        <v>233.25908376537555</v>
      </c>
      <c r="D17" s="167">
        <v>353.5162746121825</v>
      </c>
      <c r="E17" s="168">
        <v>403.8520177141327</v>
      </c>
      <c r="F17" s="169">
        <v>406.2803606479607</v>
      </c>
      <c r="G17" s="169">
        <v>407.9072947970304</v>
      </c>
      <c r="H17" s="169">
        <v>412.575595151082</v>
      </c>
      <c r="I17" s="169">
        <v>419.7916488065551</v>
      </c>
      <c r="J17" s="169">
        <v>421.6907153297528</v>
      </c>
      <c r="K17" s="169">
        <v>426.9469778399115</v>
      </c>
      <c r="L17" s="169">
        <v>435.3057561603023</v>
      </c>
      <c r="M17" s="169">
        <v>445.65581411368527</v>
      </c>
      <c r="N17" s="169">
        <v>453.8771164374174</v>
      </c>
      <c r="O17" s="169">
        <v>460.15603815818525</v>
      </c>
      <c r="P17" s="169">
        <v>467.2438001306199</v>
      </c>
      <c r="Q17" s="169">
        <v>471.35585349613496</v>
      </c>
      <c r="R17" s="169">
        <v>474.53743075321375</v>
      </c>
      <c r="S17" s="169">
        <v>476.32042313821245</v>
      </c>
      <c r="T17" s="169">
        <v>476.04260249169556</v>
      </c>
      <c r="U17" s="169">
        <v>477.64897404064243</v>
      </c>
      <c r="V17" s="169">
        <v>479.6335936806352</v>
      </c>
      <c r="W17" s="169">
        <v>479.4077957084408</v>
      </c>
      <c r="X17" s="169">
        <v>480.2126409412502</v>
      </c>
      <c r="Y17" s="169">
        <v>481.69615403787344</v>
      </c>
      <c r="Z17" s="169">
        <v>483.3250335727066</v>
      </c>
      <c r="AA17" s="169">
        <v>481.704747002112</v>
      </c>
      <c r="AB17" s="169">
        <v>479.9665670302579</v>
      </c>
      <c r="AC17" s="481">
        <v>478.2804572228817</v>
      </c>
      <c r="AD17" s="991">
        <v>479.3292984791031</v>
      </c>
      <c r="AE17" s="55" t="s">
        <v>65</v>
      </c>
      <c r="AF17" s="20"/>
      <c r="AG17" s="918">
        <f t="shared" si="0"/>
        <v>0.0021929419034001363</v>
      </c>
    </row>
    <row r="18" spans="1:33" ht="12.75" customHeight="1">
      <c r="A18" s="8"/>
      <c r="B18" s="10" t="s">
        <v>76</v>
      </c>
      <c r="C18" s="170"/>
      <c r="D18" s="170"/>
      <c r="E18" s="171">
        <v>121.28362405505942</v>
      </c>
      <c r="F18" s="172">
        <v>130.55210922163528</v>
      </c>
      <c r="G18" s="172">
        <v>136.09112486119253</v>
      </c>
      <c r="H18" s="172">
        <v>139.11484116245853</v>
      </c>
      <c r="I18" s="172">
        <v>149.90492376622515</v>
      </c>
      <c r="J18" s="172">
        <v>155.18098336078995</v>
      </c>
      <c r="K18" s="172">
        <v>184.36109373248965</v>
      </c>
      <c r="L18" s="172">
        <v>205.49187402960493</v>
      </c>
      <c r="M18" s="172">
        <v>220.88593182180114</v>
      </c>
      <c r="N18" s="172">
        <v>236.4625750516649</v>
      </c>
      <c r="O18" s="172">
        <v>261.8669806765647</v>
      </c>
      <c r="P18" s="172">
        <v>277.6568728234205</v>
      </c>
      <c r="Q18" s="172">
        <v>288.99907650513865</v>
      </c>
      <c r="R18" s="172">
        <v>300.3956360427106</v>
      </c>
      <c r="S18" s="172">
        <v>310.27166034813</v>
      </c>
      <c r="T18" s="172">
        <v>321.090591113666</v>
      </c>
      <c r="U18" s="172">
        <v>332.85522530271027</v>
      </c>
      <c r="V18" s="172">
        <v>345.8113199845917</v>
      </c>
      <c r="W18" s="172">
        <v>356.23031809394223</v>
      </c>
      <c r="X18" s="412">
        <v>356.17092590092096</v>
      </c>
      <c r="Y18" s="172">
        <v>353.263290594535</v>
      </c>
      <c r="Z18" s="172">
        <v>355.07101991027093</v>
      </c>
      <c r="AA18" s="172">
        <v>339.0831835650636</v>
      </c>
      <c r="AB18" s="172">
        <v>341.04104363388046</v>
      </c>
      <c r="AC18" s="172">
        <v>348.96679916957686</v>
      </c>
      <c r="AD18" s="172">
        <v>357.8908284094974</v>
      </c>
      <c r="AE18" s="10" t="s">
        <v>76</v>
      </c>
      <c r="AF18" s="20"/>
      <c r="AG18" s="919">
        <f t="shared" si="0"/>
        <v>0.025572717121389976</v>
      </c>
    </row>
    <row r="19" spans="1:33" ht="12.75" customHeight="1">
      <c r="A19" s="8"/>
      <c r="B19" s="184" t="s">
        <v>67</v>
      </c>
      <c r="C19" s="482">
        <v>188.6859506582849</v>
      </c>
      <c r="D19" s="482">
        <v>313.1455364564194</v>
      </c>
      <c r="E19" s="483">
        <v>483.1483593920984</v>
      </c>
      <c r="F19" s="484">
        <v>500.85360234138375</v>
      </c>
      <c r="G19" s="484">
        <v>517.9334843918429</v>
      </c>
      <c r="H19" s="484">
        <v>521.6533463264531</v>
      </c>
      <c r="I19" s="484">
        <v>521.8685363035182</v>
      </c>
      <c r="J19" s="484">
        <v>533.0609912565042</v>
      </c>
      <c r="K19" s="484">
        <v>535.6737114911213</v>
      </c>
      <c r="L19" s="484">
        <v>540.2387925189378</v>
      </c>
      <c r="M19" s="484">
        <v>551.2432992054049</v>
      </c>
      <c r="N19" s="484">
        <v>562.8304213913391</v>
      </c>
      <c r="O19" s="484">
        <v>572.0403642568106</v>
      </c>
      <c r="P19" s="484">
        <v>583.2686978217876</v>
      </c>
      <c r="Q19" s="484">
        <v>589.9851998510218</v>
      </c>
      <c r="R19" s="484">
        <v>596.7459592770964</v>
      </c>
      <c r="S19" s="484">
        <v>587.0115246971335</v>
      </c>
      <c r="T19" s="484">
        <v>597.0542372277699</v>
      </c>
      <c r="U19" s="484">
        <v>606.2351813033528</v>
      </c>
      <c r="V19" s="484">
        <v>608.3264801597535</v>
      </c>
      <c r="W19" s="484">
        <v>611.9461762634019</v>
      </c>
      <c r="X19" s="484">
        <v>614.4942072533935</v>
      </c>
      <c r="Y19" s="484">
        <v>619.0769462453186</v>
      </c>
      <c r="Z19" s="484">
        <v>624.8639703195297</v>
      </c>
      <c r="AA19" s="484">
        <v>621.2257515582542</v>
      </c>
      <c r="AB19" s="484">
        <v>608.1163465874845</v>
      </c>
      <c r="AC19" s="484">
        <v>609.9248248376873</v>
      </c>
      <c r="AD19" s="484">
        <v>615.6909874600826</v>
      </c>
      <c r="AE19" s="184" t="s">
        <v>67</v>
      </c>
      <c r="AF19" s="20"/>
      <c r="AG19" s="920">
        <f t="shared" si="0"/>
        <v>0.009453890688790656</v>
      </c>
    </row>
    <row r="20" spans="1:33" ht="12.75" customHeight="1">
      <c r="A20" s="8"/>
      <c r="B20" s="10" t="s">
        <v>46</v>
      </c>
      <c r="C20" s="170">
        <v>97.26049602852974</v>
      </c>
      <c r="D20" s="170">
        <v>174.75728155339806</v>
      </c>
      <c r="E20" s="171">
        <v>304.1892833237672</v>
      </c>
      <c r="F20" s="172">
        <v>315.0551595256928</v>
      </c>
      <c r="G20" s="172">
        <v>322.9812460939456</v>
      </c>
      <c r="H20" s="172">
        <v>321.6872266740818</v>
      </c>
      <c r="I20" s="172">
        <v>325.9456553232962</v>
      </c>
      <c r="J20" s="172">
        <v>334.81327314031137</v>
      </c>
      <c r="K20" s="172">
        <v>340.4285973709052</v>
      </c>
      <c r="L20" s="172">
        <v>348.00174759150786</v>
      </c>
      <c r="M20" s="172">
        <v>364.97125334254946</v>
      </c>
      <c r="N20" s="172">
        <v>372.17974878963986</v>
      </c>
      <c r="O20" s="172">
        <v>383.6131941985438</v>
      </c>
      <c r="P20" s="172">
        <v>396.9575034122848</v>
      </c>
      <c r="Q20" s="412">
        <v>402.9899680546993</v>
      </c>
      <c r="R20" s="172">
        <v>418.45888672320797</v>
      </c>
      <c r="S20" s="172">
        <v>457.84900970852595</v>
      </c>
      <c r="T20" s="172">
        <v>477.32230485220015</v>
      </c>
      <c r="U20" s="172">
        <v>492.0664031370231</v>
      </c>
      <c r="V20" s="172">
        <v>529.32955316855</v>
      </c>
      <c r="W20" s="172">
        <v>556.5319413248341</v>
      </c>
      <c r="X20" s="172">
        <v>562.1798471567743</v>
      </c>
      <c r="Y20" s="172">
        <v>550.9395046865083</v>
      </c>
      <c r="Z20" s="172">
        <v>545.2366617131336</v>
      </c>
      <c r="AA20" s="172">
        <v>549.1096898177341</v>
      </c>
      <c r="AB20" s="172">
        <v>553.1013986013986</v>
      </c>
      <c r="AC20" s="172">
        <v>564.9202841059353</v>
      </c>
      <c r="AD20" s="172">
        <v>574.892228041574</v>
      </c>
      <c r="AE20" s="10" t="s">
        <v>46</v>
      </c>
      <c r="AF20" s="20"/>
      <c r="AG20" s="919">
        <f t="shared" si="0"/>
        <v>0.017651948807999807</v>
      </c>
    </row>
    <row r="21" spans="1:33" ht="12.75" customHeight="1">
      <c r="A21" s="8"/>
      <c r="B21" s="184" t="s">
        <v>50</v>
      </c>
      <c r="C21" s="482">
        <v>16.903141617901102</v>
      </c>
      <c r="D21" s="482">
        <v>66.01342538096904</v>
      </c>
      <c r="E21" s="483">
        <v>106.46458209265728</v>
      </c>
      <c r="F21" s="484">
        <v>124.47975785092699</v>
      </c>
      <c r="G21" s="484">
        <v>135.36117261450104</v>
      </c>
      <c r="H21" s="484">
        <v>144.6237244697163</v>
      </c>
      <c r="I21" s="485">
        <v>100.61385758504028</v>
      </c>
      <c r="J21" s="484">
        <v>134.43848244869167</v>
      </c>
      <c r="K21" s="484">
        <v>155.38187059493347</v>
      </c>
      <c r="L21" s="484">
        <v>178.3782064442626</v>
      </c>
      <c r="M21" s="484">
        <v>201.17553500096696</v>
      </c>
      <c r="N21" s="484">
        <v>220.66955954007932</v>
      </c>
      <c r="O21" s="484">
        <v>236.5954727320318</v>
      </c>
      <c r="P21" s="484">
        <v>252.56833821925107</v>
      </c>
      <c r="Q21" s="484">
        <v>269.24532158529</v>
      </c>
      <c r="R21" s="484">
        <v>285.0403247061304</v>
      </c>
      <c r="S21" s="484">
        <v>304.9831890489678</v>
      </c>
      <c r="T21" s="484">
        <v>333.2535861543337</v>
      </c>
      <c r="U21" s="484">
        <v>372.1460132920447</v>
      </c>
      <c r="V21" s="484">
        <v>412.8409853043832</v>
      </c>
      <c r="W21" s="484">
        <v>431.2989346385344</v>
      </c>
      <c r="X21" s="487">
        <v>426.4589927677571</v>
      </c>
      <c r="Y21" s="484">
        <v>306.8844430626553</v>
      </c>
      <c r="Z21" s="484">
        <v>299.4503653879353</v>
      </c>
      <c r="AA21" s="484">
        <v>305.4977579583215</v>
      </c>
      <c r="AB21" s="484">
        <v>317.06877152170307</v>
      </c>
      <c r="AC21" s="484">
        <v>331.2020164181389</v>
      </c>
      <c r="AD21" s="484">
        <v>344.8770084872346</v>
      </c>
      <c r="AE21" s="184" t="s">
        <v>50</v>
      </c>
      <c r="AF21" s="20"/>
      <c r="AG21" s="920">
        <f t="shared" si="0"/>
        <v>0.04128897588543423</v>
      </c>
    </row>
    <row r="22" spans="1:33" ht="12.75" customHeight="1">
      <c r="A22" s="8"/>
      <c r="B22" s="10" t="s">
        <v>51</v>
      </c>
      <c r="C22" s="170">
        <v>13.82720174456887</v>
      </c>
      <c r="D22" s="170">
        <v>72.17558244526198</v>
      </c>
      <c r="E22" s="171">
        <v>133.17240991818406</v>
      </c>
      <c r="F22" s="172">
        <v>143.26960668850515</v>
      </c>
      <c r="G22" s="172">
        <v>152.9536707392048</v>
      </c>
      <c r="H22" s="172">
        <v>162.81307745275782</v>
      </c>
      <c r="I22" s="172">
        <v>179.19616051755273</v>
      </c>
      <c r="J22" s="172">
        <v>198.73495662218426</v>
      </c>
      <c r="K22" s="172">
        <v>218.80857176381465</v>
      </c>
      <c r="L22" s="172">
        <v>247.62391076903126</v>
      </c>
      <c r="M22" s="172">
        <v>277.3752184777688</v>
      </c>
      <c r="N22" s="172">
        <v>310.1682937204626</v>
      </c>
      <c r="O22" s="172">
        <v>336.2187187947914</v>
      </c>
      <c r="P22" s="172">
        <v>328.10306842658144</v>
      </c>
      <c r="Q22" s="172">
        <v>344.1486325064542</v>
      </c>
      <c r="R22" s="172">
        <v>369.77912748398103</v>
      </c>
      <c r="S22" s="172">
        <v>392.199021226626</v>
      </c>
      <c r="T22" s="172">
        <v>442.3553156921244</v>
      </c>
      <c r="U22" s="172">
        <v>489.921947284032</v>
      </c>
      <c r="V22" s="172">
        <v>494.27271637814175</v>
      </c>
      <c r="W22" s="172">
        <v>524.8557095547035</v>
      </c>
      <c r="X22" s="172">
        <v>539.5604549493694</v>
      </c>
      <c r="Y22" s="172">
        <v>554.2362742695706</v>
      </c>
      <c r="Z22" s="172">
        <v>570.407715169689</v>
      </c>
      <c r="AA22" s="172">
        <v>589.9942965875423</v>
      </c>
      <c r="AB22" s="172">
        <v>614.574217115026</v>
      </c>
      <c r="AC22" s="412">
        <v>412.72162510586173</v>
      </c>
      <c r="AD22" s="992">
        <v>430.68652247938246</v>
      </c>
      <c r="AE22" s="10" t="s">
        <v>51</v>
      </c>
      <c r="AF22" s="20"/>
      <c r="AG22" s="919">
        <f t="shared" si="0"/>
        <v>0.043527880006076325</v>
      </c>
    </row>
    <row r="23" spans="1:33" ht="12.75" customHeight="1">
      <c r="A23" s="8"/>
      <c r="B23" s="184" t="s">
        <v>68</v>
      </c>
      <c r="C23" s="482">
        <v>211.8637833575113</v>
      </c>
      <c r="D23" s="482">
        <v>352.4736192956009</v>
      </c>
      <c r="E23" s="483">
        <v>477.1175858480749</v>
      </c>
      <c r="F23" s="484">
        <v>492.8131416837782</v>
      </c>
      <c r="G23" s="484">
        <v>509.1830272324256</v>
      </c>
      <c r="H23" s="484">
        <v>519.7401299350324</v>
      </c>
      <c r="I23" s="484">
        <v>536.802662393689</v>
      </c>
      <c r="J23" s="484">
        <v>556.4552964042759</v>
      </c>
      <c r="K23" s="484">
        <v>555.7538682979489</v>
      </c>
      <c r="L23" s="484">
        <v>561.1515223314774</v>
      </c>
      <c r="M23" s="484">
        <v>592.970632970633</v>
      </c>
      <c r="N23" s="484">
        <v>607.6452952029521</v>
      </c>
      <c r="O23" s="484">
        <v>622.0637813211846</v>
      </c>
      <c r="P23" s="484">
        <v>632.1562887062267</v>
      </c>
      <c r="Q23" s="484">
        <v>640.7428061565917</v>
      </c>
      <c r="R23" s="484">
        <v>644.8874626340778</v>
      </c>
      <c r="S23" s="484">
        <v>649.9121913145286</v>
      </c>
      <c r="T23" s="484">
        <v>655.0291417778404</v>
      </c>
      <c r="U23" s="484">
        <v>660.8832244475384</v>
      </c>
      <c r="V23" s="484">
        <v>664.5735109001879</v>
      </c>
      <c r="W23" s="484">
        <v>666.7436676798379</v>
      </c>
      <c r="X23" s="484">
        <v>660.2777324096832</v>
      </c>
      <c r="Y23" s="484">
        <v>658.8758205689279</v>
      </c>
      <c r="Z23" s="484">
        <v>658.4224535250823</v>
      </c>
      <c r="AA23" s="484">
        <v>662.6148194079013</v>
      </c>
      <c r="AB23" s="484">
        <v>660.8335758987048</v>
      </c>
      <c r="AC23" s="484">
        <v>662.2643252249724</v>
      </c>
      <c r="AD23" s="484">
        <v>661.3512561410084</v>
      </c>
      <c r="AE23" s="184" t="s">
        <v>68</v>
      </c>
      <c r="AF23" s="20"/>
      <c r="AG23" s="920">
        <f t="shared" si="0"/>
        <v>-0.0013787079406002434</v>
      </c>
    </row>
    <row r="24" spans="1:33" ht="12.75" customHeight="1">
      <c r="A24" s="8"/>
      <c r="B24" s="10" t="s">
        <v>49</v>
      </c>
      <c r="C24" s="170">
        <v>23.180072169223024</v>
      </c>
      <c r="D24" s="170">
        <v>94.27990733685306</v>
      </c>
      <c r="E24" s="171">
        <v>187.40685691226187</v>
      </c>
      <c r="F24" s="172">
        <v>194.72418909184012</v>
      </c>
      <c r="G24" s="172">
        <v>198.55215153639134</v>
      </c>
      <c r="H24" s="172">
        <v>202.27313790034987</v>
      </c>
      <c r="I24" s="172">
        <v>210.79174204533362</v>
      </c>
      <c r="J24" s="172">
        <v>217.50762433427258</v>
      </c>
      <c r="K24" s="172">
        <v>219.8937662595606</v>
      </c>
      <c r="L24" s="172">
        <v>223.5433558332889</v>
      </c>
      <c r="M24" s="172">
        <v>216.3302454518572</v>
      </c>
      <c r="N24" s="172">
        <v>220.66176438936827</v>
      </c>
      <c r="O24" s="172">
        <v>231.82714857938464</v>
      </c>
      <c r="P24" s="172">
        <v>244.01600691430139</v>
      </c>
      <c r="Q24" s="172">
        <v>259.26169860630097</v>
      </c>
      <c r="R24" s="172">
        <v>274.51713209647926</v>
      </c>
      <c r="S24" s="172">
        <v>280.1108467015114</v>
      </c>
      <c r="T24" s="172">
        <v>286.6780905150269</v>
      </c>
      <c r="U24" s="172">
        <v>293.4324098628295</v>
      </c>
      <c r="V24" s="172">
        <v>299.85512773457225</v>
      </c>
      <c r="W24" s="172">
        <v>304.59920396571624</v>
      </c>
      <c r="X24" s="172">
        <v>300.94083235173935</v>
      </c>
      <c r="Y24" s="172">
        <v>298.8329737198772</v>
      </c>
      <c r="Z24" s="172">
        <v>298.81498299675036</v>
      </c>
      <c r="AA24" s="172">
        <v>301.3511830597414</v>
      </c>
      <c r="AB24" s="172">
        <v>307.84850008074017</v>
      </c>
      <c r="AC24" s="172">
        <v>315.323688500646</v>
      </c>
      <c r="AD24" s="172">
        <v>325.19819724052275</v>
      </c>
      <c r="AE24" s="10" t="s">
        <v>49</v>
      </c>
      <c r="AF24" s="20"/>
      <c r="AG24" s="919">
        <f t="shared" si="0"/>
        <v>0.031315467565502964</v>
      </c>
    </row>
    <row r="25" spans="1:33" ht="12.75" customHeight="1">
      <c r="A25" s="8"/>
      <c r="B25" s="184" t="s">
        <v>52</v>
      </c>
      <c r="C25" s="482"/>
      <c r="D25" s="482"/>
      <c r="E25" s="488">
        <v>337.16388974740806</v>
      </c>
      <c r="F25" s="484">
        <v>339.31963631610125</v>
      </c>
      <c r="G25" s="484">
        <v>344.3744369477956</v>
      </c>
      <c r="H25" s="484">
        <v>416.48495896908287</v>
      </c>
      <c r="I25" s="484">
        <v>461.8609775044593</v>
      </c>
      <c r="J25" s="484">
        <v>486.92432992743966</v>
      </c>
      <c r="K25" s="484">
        <v>486.6856705833275</v>
      </c>
      <c r="L25" s="484">
        <v>488.09470058138766</v>
      </c>
      <c r="M25" s="485">
        <v>461.76403764153883</v>
      </c>
      <c r="N25" s="484">
        <v>479.3569717070707</v>
      </c>
      <c r="O25" s="484">
        <v>483.17770141665494</v>
      </c>
      <c r="P25" s="484">
        <v>495.0803388396036</v>
      </c>
      <c r="Q25" s="484">
        <v>508.238190165519</v>
      </c>
      <c r="R25" s="484">
        <v>522.2036327078754</v>
      </c>
      <c r="S25" s="484">
        <v>524.95604319191</v>
      </c>
      <c r="T25" s="484">
        <v>524.8432712179537</v>
      </c>
      <c r="U25" s="484">
        <v>537.8313478758236</v>
      </c>
      <c r="V25" s="484">
        <v>551.4427509366602</v>
      </c>
      <c r="W25" s="484">
        <v>558.2245951825876</v>
      </c>
      <c r="X25" s="484">
        <v>563.9390667758383</v>
      </c>
      <c r="Y25" s="485">
        <v>580.6418965321972</v>
      </c>
      <c r="Z25" s="484">
        <v>592.4496941654332</v>
      </c>
      <c r="AA25" s="485">
        <v>593.3943099078231</v>
      </c>
      <c r="AB25" s="484">
        <v>603.2149775261881</v>
      </c>
      <c r="AC25" s="484">
        <v>620.7563166132519</v>
      </c>
      <c r="AD25" s="484">
        <v>633.9274820846081</v>
      </c>
      <c r="AE25" s="184" t="s">
        <v>52</v>
      </c>
      <c r="AF25" s="20"/>
      <c r="AG25" s="920">
        <f t="shared" si="0"/>
        <v>0.021217932252733274</v>
      </c>
    </row>
    <row r="26" spans="1:33" ht="12.75" customHeight="1">
      <c r="A26" s="8"/>
      <c r="B26" s="10" t="s">
        <v>60</v>
      </c>
      <c r="C26" s="170">
        <v>195.43531997960278</v>
      </c>
      <c r="D26" s="170">
        <v>320.22890947769184</v>
      </c>
      <c r="E26" s="171">
        <v>367.02262990870685</v>
      </c>
      <c r="F26" s="172">
        <v>367.1058849968439</v>
      </c>
      <c r="G26" s="172">
        <v>371.2797707908469</v>
      </c>
      <c r="H26" s="172">
        <v>375.1249954942632</v>
      </c>
      <c r="I26" s="172">
        <v>381.48038507475496</v>
      </c>
      <c r="J26" s="172">
        <v>363.56269236213063</v>
      </c>
      <c r="K26" s="172">
        <v>368.72618656761335</v>
      </c>
      <c r="L26" s="172">
        <v>378.900872047564</v>
      </c>
      <c r="M26" s="172">
        <v>388.29274328253564</v>
      </c>
      <c r="N26" s="172">
        <v>399.84965913281366</v>
      </c>
      <c r="O26" s="172">
        <v>409.0311704924134</v>
      </c>
      <c r="P26" s="172">
        <v>416.67080092031904</v>
      </c>
      <c r="Q26" s="172">
        <v>423.32638693840613</v>
      </c>
      <c r="R26" s="172">
        <v>424.92676850433065</v>
      </c>
      <c r="S26" s="172">
        <v>428.8111282027946</v>
      </c>
      <c r="T26" s="172">
        <v>434.198715456701</v>
      </c>
      <c r="U26" s="172">
        <v>441.99667049598753</v>
      </c>
      <c r="V26" s="172">
        <v>450.5774592864215</v>
      </c>
      <c r="W26" s="172">
        <v>457.5050617844329</v>
      </c>
      <c r="X26" s="172">
        <v>459.84947561654496</v>
      </c>
      <c r="Y26" s="172">
        <v>464.46285765095996</v>
      </c>
      <c r="Z26" s="172">
        <v>469.74516011262887</v>
      </c>
      <c r="AA26" s="172">
        <v>471.74097079336036</v>
      </c>
      <c r="AB26" s="172">
        <v>471.33839106334204</v>
      </c>
      <c r="AC26" s="172">
        <v>472.1148073757305</v>
      </c>
      <c r="AD26" s="172">
        <v>477.1074119271198</v>
      </c>
      <c r="AE26" s="10" t="s">
        <v>60</v>
      </c>
      <c r="AF26" s="20"/>
      <c r="AG26" s="919">
        <f t="shared" si="0"/>
        <v>0.010574979800233253</v>
      </c>
    </row>
    <row r="27" spans="1:33" ht="12.75" customHeight="1">
      <c r="A27" s="8"/>
      <c r="B27" s="184" t="s">
        <v>69</v>
      </c>
      <c r="C27" s="482">
        <v>160.0474927898404</v>
      </c>
      <c r="D27" s="482">
        <v>297.4848431009068</v>
      </c>
      <c r="E27" s="483">
        <v>387.8933693966527</v>
      </c>
      <c r="F27" s="484">
        <v>397.4920049612131</v>
      </c>
      <c r="G27" s="484">
        <v>411.6704317490386</v>
      </c>
      <c r="H27" s="484">
        <v>424.7362697707809</v>
      </c>
      <c r="I27" s="484">
        <v>438.04366066346915</v>
      </c>
      <c r="J27" s="484">
        <v>451.8493305790081</v>
      </c>
      <c r="K27" s="484">
        <v>463.3656942163971</v>
      </c>
      <c r="L27" s="484">
        <v>474.5311697885215</v>
      </c>
      <c r="M27" s="484">
        <v>486.9643584854345</v>
      </c>
      <c r="N27" s="484">
        <v>501.06358437556935</v>
      </c>
      <c r="O27" s="484">
        <v>510.8057079551465</v>
      </c>
      <c r="P27" s="484">
        <v>518.6276917124277</v>
      </c>
      <c r="Q27" s="485">
        <v>492.21711416393003</v>
      </c>
      <c r="R27" s="484">
        <v>497.91484829181144</v>
      </c>
      <c r="S27" s="484">
        <v>501.03025608316864</v>
      </c>
      <c r="T27" s="484">
        <v>503.5852836909935</v>
      </c>
      <c r="U27" s="484">
        <v>507.6635425107666</v>
      </c>
      <c r="V27" s="484">
        <v>511.0241479616788</v>
      </c>
      <c r="W27" s="484">
        <v>514.0872774730855</v>
      </c>
      <c r="X27" s="484">
        <v>522.0462608375383</v>
      </c>
      <c r="Y27" s="484">
        <v>530.2614969688952</v>
      </c>
      <c r="Z27" s="484">
        <v>536.7930599476388</v>
      </c>
      <c r="AA27" s="484">
        <v>542.3897224989529</v>
      </c>
      <c r="AB27" s="484">
        <v>545.5940473656116</v>
      </c>
      <c r="AC27" s="484">
        <v>547.4321502109136</v>
      </c>
      <c r="AD27" s="484">
        <v>546.3758890025819</v>
      </c>
      <c r="AE27" s="184" t="s">
        <v>69</v>
      </c>
      <c r="AF27" s="20"/>
      <c r="AG27" s="920">
        <f t="shared" si="0"/>
        <v>-0.0019294833303539205</v>
      </c>
    </row>
    <row r="28" spans="1:33" ht="12.75" customHeight="1">
      <c r="A28" s="8"/>
      <c r="B28" s="10" t="s">
        <v>53</v>
      </c>
      <c r="C28" s="170">
        <v>14.667156592565373</v>
      </c>
      <c r="D28" s="170">
        <v>66.60162281290275</v>
      </c>
      <c r="E28" s="171">
        <v>137.78325314091342</v>
      </c>
      <c r="F28" s="172">
        <v>159.49160653885306</v>
      </c>
      <c r="G28" s="172">
        <v>169.32119614011185</v>
      </c>
      <c r="H28" s="172">
        <v>175.8371255753225</v>
      </c>
      <c r="I28" s="172">
        <v>185.4077322857394</v>
      </c>
      <c r="J28" s="172">
        <v>194.7004147876013</v>
      </c>
      <c r="K28" s="172">
        <v>208.45200232581607</v>
      </c>
      <c r="L28" s="172">
        <v>220.73082346992481</v>
      </c>
      <c r="M28" s="172">
        <v>229.93164478335433</v>
      </c>
      <c r="N28" s="172">
        <v>242.60581999415993</v>
      </c>
      <c r="O28" s="172">
        <v>261.1834514888722</v>
      </c>
      <c r="P28" s="172">
        <v>274.64687763624045</v>
      </c>
      <c r="Q28" s="172">
        <v>288.5746707533055</v>
      </c>
      <c r="R28" s="172">
        <v>294.4126995831017</v>
      </c>
      <c r="S28" s="172">
        <v>313.7015445265062</v>
      </c>
      <c r="T28" s="172">
        <v>323.38326424824976</v>
      </c>
      <c r="U28" s="172">
        <v>351.0573336009759</v>
      </c>
      <c r="V28" s="172">
        <v>382.74940725777117</v>
      </c>
      <c r="W28" s="172">
        <v>421.63796106322553</v>
      </c>
      <c r="X28" s="172">
        <v>433.81786892514606</v>
      </c>
      <c r="Y28" s="172">
        <v>452.9313960185397</v>
      </c>
      <c r="Z28" s="172">
        <v>476.17431284828376</v>
      </c>
      <c r="AA28" s="172">
        <v>492.4527491403292</v>
      </c>
      <c r="AB28" s="172">
        <v>510.0089284361538</v>
      </c>
      <c r="AC28" s="172">
        <v>526.3396876050996</v>
      </c>
      <c r="AD28" s="172">
        <v>545.8130988769809</v>
      </c>
      <c r="AE28" s="10" t="s">
        <v>53</v>
      </c>
      <c r="AF28" s="20"/>
      <c r="AG28" s="919">
        <f t="shared" si="0"/>
        <v>0.036997801477763215</v>
      </c>
    </row>
    <row r="29" spans="1:33" ht="12.75" customHeight="1">
      <c r="A29" s="8"/>
      <c r="B29" s="184" t="s">
        <v>70</v>
      </c>
      <c r="C29" s="482">
        <v>48.5960699284749</v>
      </c>
      <c r="D29" s="482">
        <v>129.2385193115345</v>
      </c>
      <c r="E29" s="488">
        <v>185.4481662345728</v>
      </c>
      <c r="F29" s="486">
        <v>195.97932830145518</v>
      </c>
      <c r="G29" s="486">
        <v>210.9501617184121</v>
      </c>
      <c r="H29" s="486">
        <v>225.57768188554067</v>
      </c>
      <c r="I29" s="486">
        <v>240.79149864132648</v>
      </c>
      <c r="J29" s="484">
        <v>254.88632517939368</v>
      </c>
      <c r="K29" s="484">
        <v>272.70394189085573</v>
      </c>
      <c r="L29" s="484">
        <v>291.1062214037477</v>
      </c>
      <c r="M29" s="484">
        <v>309.2287403277668</v>
      </c>
      <c r="N29" s="484">
        <v>326.86045556346744</v>
      </c>
      <c r="O29" s="484">
        <v>333.2760933498303</v>
      </c>
      <c r="P29" s="484">
        <v>345.27313952950306</v>
      </c>
      <c r="Q29" s="484">
        <v>371.96283014214436</v>
      </c>
      <c r="R29" s="484">
        <v>378.6862470817956</v>
      </c>
      <c r="S29" s="484">
        <v>390.6744298440199</v>
      </c>
      <c r="T29" s="484">
        <v>399.54383509570215</v>
      </c>
      <c r="U29" s="484">
        <v>407.3073018711071</v>
      </c>
      <c r="V29" s="484">
        <v>414.93976456171833</v>
      </c>
      <c r="W29" s="484">
        <v>417.30513658317597</v>
      </c>
      <c r="X29" s="484">
        <v>421.5263490852916</v>
      </c>
      <c r="Y29" s="484">
        <v>423.73197968621326</v>
      </c>
      <c r="Z29" s="484">
        <v>428.93466932286185</v>
      </c>
      <c r="AA29" s="484">
        <v>428.8048131409366</v>
      </c>
      <c r="AB29" s="484">
        <v>429.64138083287327</v>
      </c>
      <c r="AC29" s="484">
        <v>433.35683253168105</v>
      </c>
      <c r="AD29" s="484">
        <v>438.8216989497483</v>
      </c>
      <c r="AE29" s="184" t="s">
        <v>70</v>
      </c>
      <c r="AF29" s="20"/>
      <c r="AG29" s="920">
        <f t="shared" si="0"/>
        <v>0.012610546339240525</v>
      </c>
    </row>
    <row r="30" spans="1:33" ht="12.75" customHeight="1">
      <c r="A30" s="8"/>
      <c r="B30" s="10" t="s">
        <v>54</v>
      </c>
      <c r="C30" s="170">
        <v>1.964521527030441</v>
      </c>
      <c r="D30" s="170">
        <v>10.771077180422813</v>
      </c>
      <c r="E30" s="171">
        <v>55.720409305271225</v>
      </c>
      <c r="F30" s="172">
        <v>62.76035963995672</v>
      </c>
      <c r="G30" s="172">
        <v>69.93553974700653</v>
      </c>
      <c r="H30" s="172">
        <v>78.82239633353697</v>
      </c>
      <c r="I30" s="172">
        <v>88.9389731439143</v>
      </c>
      <c r="J30" s="172">
        <v>96.99253778610615</v>
      </c>
      <c r="K30" s="172">
        <v>103.01085889197269</v>
      </c>
      <c r="L30" s="172">
        <v>108.63344122746896</v>
      </c>
      <c r="M30" s="172">
        <v>115.37274783062259</v>
      </c>
      <c r="N30" s="172">
        <v>120.32788425634095</v>
      </c>
      <c r="O30" s="172">
        <v>123.8313601902984</v>
      </c>
      <c r="P30" s="172">
        <v>131.9620419701245</v>
      </c>
      <c r="Q30" s="172">
        <v>137.48185239455916</v>
      </c>
      <c r="R30" s="172">
        <v>143.46952406150194</v>
      </c>
      <c r="S30" s="172">
        <v>150.84246570793843</v>
      </c>
      <c r="T30" s="172">
        <v>158.24323602146228</v>
      </c>
      <c r="U30" s="172">
        <v>170.53247620276716</v>
      </c>
      <c r="V30" s="412">
        <v>171.61051898043468</v>
      </c>
      <c r="W30" s="172">
        <v>197.0306194285893</v>
      </c>
      <c r="X30" s="172">
        <v>209.1631586460355</v>
      </c>
      <c r="Y30" s="172">
        <v>213.8565464856556</v>
      </c>
      <c r="Z30" s="172">
        <v>215.6920711966702</v>
      </c>
      <c r="AA30" s="172">
        <v>224.13758310783467</v>
      </c>
      <c r="AB30" s="172">
        <v>235.40315784919582</v>
      </c>
      <c r="AC30" s="172">
        <v>246.97555142517504</v>
      </c>
      <c r="AD30" s="172">
        <v>260.8794070782478</v>
      </c>
      <c r="AE30" s="10" t="s">
        <v>54</v>
      </c>
      <c r="AF30" s="20"/>
      <c r="AG30" s="919">
        <f t="shared" si="0"/>
        <v>0.05629648591870917</v>
      </c>
    </row>
    <row r="31" spans="1:33" ht="12.75" customHeight="1">
      <c r="A31" s="8"/>
      <c r="B31" s="184" t="s">
        <v>56</v>
      </c>
      <c r="C31" s="482">
        <v>87.08172540849422</v>
      </c>
      <c r="D31" s="482">
        <v>218.0851565224768</v>
      </c>
      <c r="E31" s="483">
        <v>293.56007290200483</v>
      </c>
      <c r="F31" s="484">
        <v>301.606073704095</v>
      </c>
      <c r="G31" s="484">
        <v>304.02179647397</v>
      </c>
      <c r="H31" s="484">
        <v>326.9032797696601</v>
      </c>
      <c r="I31" s="484">
        <v>335.92094806826117</v>
      </c>
      <c r="J31" s="484">
        <v>357.42157078501066</v>
      </c>
      <c r="K31" s="484">
        <v>373.9613052714434</v>
      </c>
      <c r="L31" s="484">
        <v>391.3491858374355</v>
      </c>
      <c r="M31" s="484">
        <v>410.2800639325817</v>
      </c>
      <c r="N31" s="484">
        <v>425.6606070667663</v>
      </c>
      <c r="O31" s="484">
        <v>435.20356324877116</v>
      </c>
      <c r="P31" s="484">
        <v>442.0639450037261</v>
      </c>
      <c r="Q31" s="484">
        <v>448.3740369206925</v>
      </c>
      <c r="R31" s="484">
        <v>456.02782562700577</v>
      </c>
      <c r="S31" s="484">
        <v>467.53387832337967</v>
      </c>
      <c r="T31" s="484">
        <v>479.30175235779126</v>
      </c>
      <c r="U31" s="484">
        <v>487.60058436800654</v>
      </c>
      <c r="V31" s="484">
        <v>504.47079470458925</v>
      </c>
      <c r="W31" s="484">
        <v>514.2700955833656</v>
      </c>
      <c r="X31" s="484">
        <v>517.2791473861931</v>
      </c>
      <c r="Y31" s="484">
        <v>517.8283563125156</v>
      </c>
      <c r="Z31" s="484">
        <v>518.8480055422145</v>
      </c>
      <c r="AA31" s="484">
        <v>517.7856647081023</v>
      </c>
      <c r="AB31" s="484">
        <v>516.13349279627</v>
      </c>
      <c r="AC31" s="484">
        <v>517.8997844754455</v>
      </c>
      <c r="AD31" s="484">
        <v>522.5977478795536</v>
      </c>
      <c r="AE31" s="184" t="s">
        <v>56</v>
      </c>
      <c r="AF31" s="20"/>
      <c r="AG31" s="920">
        <f t="shared" si="0"/>
        <v>0.00907118238882143</v>
      </c>
    </row>
    <row r="32" spans="1:33" ht="12.75" customHeight="1">
      <c r="A32" s="8"/>
      <c r="B32" s="10" t="s">
        <v>55</v>
      </c>
      <c r="C32" s="170">
        <v>36.12422327413219</v>
      </c>
      <c r="D32" s="170">
        <v>110.48111523480539</v>
      </c>
      <c r="E32" s="171">
        <v>165.7028597489112</v>
      </c>
      <c r="F32" s="172">
        <v>175.41948198570321</v>
      </c>
      <c r="G32" s="172">
        <v>182.7195480749056</v>
      </c>
      <c r="H32" s="172">
        <v>186.44081136259933</v>
      </c>
      <c r="I32" s="172">
        <v>185.58767426277586</v>
      </c>
      <c r="J32" s="172">
        <v>189.23877424414889</v>
      </c>
      <c r="K32" s="172">
        <v>196.7723332438484</v>
      </c>
      <c r="L32" s="172">
        <v>210.83663563891494</v>
      </c>
      <c r="M32" s="172">
        <v>221.77346236554354</v>
      </c>
      <c r="N32" s="172">
        <v>229.01992106555392</v>
      </c>
      <c r="O32" s="172">
        <v>236.8937359993887</v>
      </c>
      <c r="P32" s="172">
        <v>240.34426043293573</v>
      </c>
      <c r="Q32" s="172">
        <v>246.87094932289565</v>
      </c>
      <c r="R32" s="172">
        <v>252.4630599185573</v>
      </c>
      <c r="S32" s="412">
        <v>222.79921491768084</v>
      </c>
      <c r="T32" s="172">
        <v>242.64311749571183</v>
      </c>
      <c r="U32" s="172">
        <v>248.22339843444666</v>
      </c>
      <c r="V32" s="172">
        <v>266.7241312603421</v>
      </c>
      <c r="W32" s="172">
        <v>287.0258087422323</v>
      </c>
      <c r="X32" s="172">
        <v>294.79093427030597</v>
      </c>
      <c r="Y32" s="172">
        <v>309.5190939325123</v>
      </c>
      <c r="Z32" s="172">
        <v>323.6853762599638</v>
      </c>
      <c r="AA32" s="172">
        <v>337.1364425016763</v>
      </c>
      <c r="AB32" s="172">
        <v>347.0784159895154</v>
      </c>
      <c r="AC32" s="172">
        <v>359.5147628385481</v>
      </c>
      <c r="AD32" s="172">
        <v>374.9501497534578</v>
      </c>
      <c r="AE32" s="10" t="s">
        <v>55</v>
      </c>
      <c r="AF32" s="20"/>
      <c r="AG32" s="919">
        <f t="shared" si="0"/>
        <v>0.04293394461200872</v>
      </c>
    </row>
    <row r="33" spans="1:33" ht="12.75" customHeight="1">
      <c r="A33" s="8"/>
      <c r="B33" s="184" t="s">
        <v>71</v>
      </c>
      <c r="C33" s="482">
        <v>154.8386198833665</v>
      </c>
      <c r="D33" s="482">
        <v>256.06868154705586</v>
      </c>
      <c r="E33" s="483">
        <v>387.8892734948518</v>
      </c>
      <c r="F33" s="484">
        <v>382.38203126584557</v>
      </c>
      <c r="G33" s="484">
        <v>382.9885052014033</v>
      </c>
      <c r="H33" s="484">
        <v>368.83920004915404</v>
      </c>
      <c r="I33" s="484">
        <v>367.2638452453286</v>
      </c>
      <c r="J33" s="484">
        <v>371.49103760807975</v>
      </c>
      <c r="K33" s="484">
        <v>378.53290519687005</v>
      </c>
      <c r="L33" s="484">
        <v>378.4717142746684</v>
      </c>
      <c r="M33" s="484">
        <v>391.7160208277854</v>
      </c>
      <c r="N33" s="484">
        <v>402.71869637472344</v>
      </c>
      <c r="O33" s="484">
        <v>412.02096459931886</v>
      </c>
      <c r="P33" s="484">
        <v>415.9084071092019</v>
      </c>
      <c r="Q33" s="484">
        <v>421.544111503478</v>
      </c>
      <c r="R33" s="484">
        <v>435.7650929204795</v>
      </c>
      <c r="S33" s="484">
        <v>448.1383092996597</v>
      </c>
      <c r="T33" s="484">
        <v>462.43135867021334</v>
      </c>
      <c r="U33" s="484">
        <v>474.8084833014494</v>
      </c>
      <c r="V33" s="484">
        <v>484.92854614786125</v>
      </c>
      <c r="W33" s="484">
        <v>507.00953792810566</v>
      </c>
      <c r="X33" s="484">
        <v>518.8642207022539</v>
      </c>
      <c r="Y33" s="484">
        <v>535.3183724891521</v>
      </c>
      <c r="Z33" s="484">
        <v>551.4870862706842</v>
      </c>
      <c r="AA33" s="484">
        <v>563.417666143203</v>
      </c>
      <c r="AB33" s="484">
        <v>573.7009907782957</v>
      </c>
      <c r="AC33" s="484">
        <v>583.898798063436</v>
      </c>
      <c r="AD33" s="484">
        <v>593.657399949119</v>
      </c>
      <c r="AE33" s="184" t="s">
        <v>71</v>
      </c>
      <c r="AF33" s="20"/>
      <c r="AG33" s="920">
        <f t="shared" si="0"/>
        <v>0.01671283091872877</v>
      </c>
    </row>
    <row r="34" spans="1:33" ht="12.75" customHeight="1">
      <c r="A34" s="8"/>
      <c r="B34" s="10" t="s">
        <v>72</v>
      </c>
      <c r="C34" s="170">
        <v>283.12521732459044</v>
      </c>
      <c r="D34" s="170">
        <v>346.59911490391823</v>
      </c>
      <c r="E34" s="171">
        <v>419.1776388926074</v>
      </c>
      <c r="F34" s="172">
        <v>418.6660990361078</v>
      </c>
      <c r="G34" s="172">
        <v>412.90780398050487</v>
      </c>
      <c r="H34" s="172">
        <v>407.7822243267637</v>
      </c>
      <c r="I34" s="172">
        <v>407.6729442613698</v>
      </c>
      <c r="J34" s="172">
        <v>410.83582951550983</v>
      </c>
      <c r="K34" s="172">
        <v>413.2421745991491</v>
      </c>
      <c r="L34" s="172">
        <v>418.32356140772237</v>
      </c>
      <c r="M34" s="172">
        <v>428.11804223971075</v>
      </c>
      <c r="N34" s="172">
        <v>438.9992084795382</v>
      </c>
      <c r="O34" s="172">
        <v>450.15283482940947</v>
      </c>
      <c r="P34" s="172">
        <v>451.0579486567035</v>
      </c>
      <c r="Q34" s="172">
        <v>452.1740141920377</v>
      </c>
      <c r="R34" s="172">
        <v>454.05122960180137</v>
      </c>
      <c r="S34" s="172">
        <v>456.46932238659684</v>
      </c>
      <c r="T34" s="172">
        <v>459.08353809874546</v>
      </c>
      <c r="U34" s="172">
        <v>461.1373299359383</v>
      </c>
      <c r="V34" s="172">
        <v>463.73699801817</v>
      </c>
      <c r="W34" s="172">
        <v>462.27685716622335</v>
      </c>
      <c r="X34" s="172">
        <v>460.43233245709473</v>
      </c>
      <c r="Y34" s="172">
        <v>460.42693113640485</v>
      </c>
      <c r="Z34" s="172">
        <v>464.13785721705113</v>
      </c>
      <c r="AA34" s="172">
        <v>465.38455380360585</v>
      </c>
      <c r="AB34" s="172">
        <v>466.1001959177444</v>
      </c>
      <c r="AC34" s="172">
        <v>470.43726221113315</v>
      </c>
      <c r="AD34" s="172">
        <v>473.96761166892713</v>
      </c>
      <c r="AE34" s="10" t="s">
        <v>72</v>
      </c>
      <c r="AF34" s="20"/>
      <c r="AG34" s="919">
        <f t="shared" si="0"/>
        <v>0.007504400142966494</v>
      </c>
    </row>
    <row r="35" spans="1:33" ht="12.75" customHeight="1">
      <c r="A35" s="8"/>
      <c r="B35" s="186" t="s">
        <v>61</v>
      </c>
      <c r="C35" s="489">
        <v>213.33773155659458</v>
      </c>
      <c r="D35" s="489">
        <v>277.20998646713343</v>
      </c>
      <c r="E35" s="490">
        <v>361.39956192206176</v>
      </c>
      <c r="F35" s="491">
        <v>360.970694013454</v>
      </c>
      <c r="G35" s="491">
        <v>363.7517322440325</v>
      </c>
      <c r="H35" s="491">
        <v>368.4275236507942</v>
      </c>
      <c r="I35" s="491">
        <v>375.2054933815495</v>
      </c>
      <c r="J35" s="491">
        <v>377.8460461385155</v>
      </c>
      <c r="K35" s="491">
        <v>391.8095392335679</v>
      </c>
      <c r="L35" s="491">
        <v>401.5782556317369</v>
      </c>
      <c r="M35" s="491">
        <v>408.3707346668047</v>
      </c>
      <c r="N35" s="491">
        <v>418.94767268644244</v>
      </c>
      <c r="O35" s="491">
        <v>424.8636787312821</v>
      </c>
      <c r="P35" s="491">
        <v>435.78480759919165</v>
      </c>
      <c r="Q35" s="491">
        <v>445.24323245267163</v>
      </c>
      <c r="R35" s="491">
        <v>451.42416953582057</v>
      </c>
      <c r="S35" s="491">
        <v>462.03550726504</v>
      </c>
      <c r="T35" s="491">
        <v>467.2736442463614</v>
      </c>
      <c r="U35" s="484">
        <v>465.7791666957983</v>
      </c>
      <c r="V35" s="484">
        <v>468.9385521878276</v>
      </c>
      <c r="W35" s="484">
        <v>468.2272234625311</v>
      </c>
      <c r="X35" s="484">
        <v>466.3607763066241</v>
      </c>
      <c r="Y35" s="484">
        <v>465.4458503825267</v>
      </c>
      <c r="Z35" s="484">
        <v>462.74626014462825</v>
      </c>
      <c r="AA35" s="491">
        <v>463.8766955421552</v>
      </c>
      <c r="AB35" s="491">
        <v>467.36435422176964</v>
      </c>
      <c r="AC35" s="491">
        <v>471.0147095579641</v>
      </c>
      <c r="AD35" s="491">
        <v>477.4063589682851</v>
      </c>
      <c r="AE35" s="186" t="s">
        <v>61</v>
      </c>
      <c r="AF35" s="20"/>
      <c r="AG35" s="921">
        <f t="shared" si="0"/>
        <v>0.013569957117304021</v>
      </c>
    </row>
    <row r="36" spans="1:33" ht="12.75" customHeight="1">
      <c r="A36" s="8"/>
      <c r="B36" s="497" t="s">
        <v>221</v>
      </c>
      <c r="C36" s="170"/>
      <c r="D36" s="170"/>
      <c r="E36" s="171"/>
      <c r="F36" s="172"/>
      <c r="G36" s="172"/>
      <c r="H36" s="172">
        <v>17.615695383363715</v>
      </c>
      <c r="I36" s="172">
        <v>20.918261186468015</v>
      </c>
      <c r="J36" s="172">
        <v>17.874505025890954</v>
      </c>
      <c r="K36" s="172">
        <v>20.23814215070344</v>
      </c>
      <c r="L36" s="172">
        <v>22.902263067469885</v>
      </c>
      <c r="M36" s="172">
        <v>26.90602633213229</v>
      </c>
      <c r="N36" s="172">
        <v>30.162527542122813</v>
      </c>
      <c r="O36" s="172">
        <v>37.38821761240589</v>
      </c>
      <c r="P36" s="172">
        <v>43.296560346650026</v>
      </c>
      <c r="Q36" s="172">
        <v>47.87028153131014</v>
      </c>
      <c r="R36" s="172">
        <v>56.0279886701535</v>
      </c>
      <c r="S36" s="172">
        <v>60.60781983907368</v>
      </c>
      <c r="T36" s="172">
        <v>61.96130185259926</v>
      </c>
      <c r="U36" s="751">
        <v>71.40525752349232</v>
      </c>
      <c r="V36" s="751">
        <v>75.05622939701267</v>
      </c>
      <c r="W36" s="751">
        <v>83.15631514544064</v>
      </c>
      <c r="X36" s="751"/>
      <c r="Y36" s="752">
        <v>104.08049323719929</v>
      </c>
      <c r="Z36" s="751"/>
      <c r="AA36" s="105">
        <v>102.57446058379001</v>
      </c>
      <c r="AB36" s="172">
        <v>117.98938309299167</v>
      </c>
      <c r="AC36" s="172">
        <v>130.71007107833137</v>
      </c>
      <c r="AD36" s="172">
        <v>139.873999749136</v>
      </c>
      <c r="AE36" s="497" t="s">
        <v>221</v>
      </c>
      <c r="AF36" s="20"/>
      <c r="AG36" s="919">
        <f t="shared" si="0"/>
        <v>0.07010881866411744</v>
      </c>
    </row>
    <row r="37" spans="1:33" ht="12.75" customHeight="1">
      <c r="A37" s="8"/>
      <c r="B37" s="184" t="s">
        <v>213</v>
      </c>
      <c r="C37" s="482"/>
      <c r="D37" s="482"/>
      <c r="E37" s="483"/>
      <c r="F37" s="484"/>
      <c r="G37" s="484"/>
      <c r="H37" s="484"/>
      <c r="I37" s="484"/>
      <c r="J37" s="469"/>
      <c r="K37" s="469"/>
      <c r="L37" s="469"/>
      <c r="M37" s="469"/>
      <c r="N37" s="469"/>
      <c r="O37" s="469"/>
      <c r="P37" s="469"/>
      <c r="Q37" s="469"/>
      <c r="R37" s="469"/>
      <c r="S37" s="469"/>
      <c r="T37" s="469"/>
      <c r="U37" s="469"/>
      <c r="V37" s="469"/>
      <c r="W37" s="469"/>
      <c r="X37" s="749"/>
      <c r="Y37" s="750">
        <v>265.6336210373477</v>
      </c>
      <c r="Z37" s="484">
        <v>277.23808172714206</v>
      </c>
      <c r="AA37" s="484">
        <v>280.02409432865244</v>
      </c>
      <c r="AB37" s="484">
        <v>287.4593135227933</v>
      </c>
      <c r="AC37" s="484">
        <v>279.8155920520689</v>
      </c>
      <c r="AD37" s="484">
        <v>282.7176327267935</v>
      </c>
      <c r="AE37" s="184" t="s">
        <v>213</v>
      </c>
      <c r="AF37" s="20"/>
      <c r="AG37" s="920">
        <f t="shared" si="0"/>
        <v>0.010371261492049477</v>
      </c>
    </row>
    <row r="38" spans="1:33" ht="12.75" customHeight="1">
      <c r="A38" s="8"/>
      <c r="B38" s="497" t="s">
        <v>1</v>
      </c>
      <c r="C38" s="170"/>
      <c r="D38" s="170"/>
      <c r="E38" s="171"/>
      <c r="F38" s="172"/>
      <c r="G38" s="172"/>
      <c r="H38" s="172">
        <v>149.72523429823605</v>
      </c>
      <c r="I38" s="172">
        <v>134.46365208594645</v>
      </c>
      <c r="J38" s="172">
        <v>145.00628142296418</v>
      </c>
      <c r="K38" s="172">
        <v>142.6244276633802</v>
      </c>
      <c r="L38" s="172">
        <v>144.43301337435202</v>
      </c>
      <c r="M38" s="172">
        <v>143.42787442769804</v>
      </c>
      <c r="N38" s="172">
        <v>143.4522932085727</v>
      </c>
      <c r="O38" s="172">
        <v>147.70234236221341</v>
      </c>
      <c r="P38" s="172">
        <v>152.06133860086888</v>
      </c>
      <c r="Q38" s="172">
        <v>152.19993141119974</v>
      </c>
      <c r="R38" s="172">
        <v>147.69702033408677</v>
      </c>
      <c r="S38" s="901">
        <v>122.54495390124588</v>
      </c>
      <c r="T38" s="172">
        <v>124.2248029692217</v>
      </c>
      <c r="U38" s="172">
        <v>118.6552402836321</v>
      </c>
      <c r="V38" s="172">
        <v>121.63934955263042</v>
      </c>
      <c r="W38" s="172">
        <v>128.43383762427277</v>
      </c>
      <c r="X38" s="172">
        <v>137.47404665609858</v>
      </c>
      <c r="Y38" s="172">
        <v>150.79638980325515</v>
      </c>
      <c r="Z38" s="172">
        <v>151.99578210248208</v>
      </c>
      <c r="AA38" s="172">
        <v>146.32297819806487</v>
      </c>
      <c r="AB38" s="172">
        <v>167.87840266748123</v>
      </c>
      <c r="AC38" s="172">
        <v>179.5157676597209</v>
      </c>
      <c r="AD38" s="172">
        <v>185.31215993217717</v>
      </c>
      <c r="AE38" s="497" t="s">
        <v>1</v>
      </c>
      <c r="AF38" s="20"/>
      <c r="AG38" s="919">
        <f t="shared" si="0"/>
        <v>0.03228904261737919</v>
      </c>
    </row>
    <row r="39" spans="1:33" ht="12.75" customHeight="1">
      <c r="A39" s="8"/>
      <c r="B39" s="184" t="s">
        <v>212</v>
      </c>
      <c r="C39" s="482"/>
      <c r="D39" s="482"/>
      <c r="E39" s="483"/>
      <c r="F39" s="484"/>
      <c r="G39" s="484"/>
      <c r="H39" s="484"/>
      <c r="I39" s="484"/>
      <c r="J39" s="484"/>
      <c r="K39" s="484"/>
      <c r="L39" s="484"/>
      <c r="M39" s="484"/>
      <c r="N39" s="484"/>
      <c r="O39" s="484"/>
      <c r="P39" s="484">
        <v>184.26723304833857</v>
      </c>
      <c r="Q39" s="484">
        <v>179.37160705804015</v>
      </c>
      <c r="R39" s="484">
        <v>185.81795580691067</v>
      </c>
      <c r="S39" s="486">
        <v>194.45188806405537</v>
      </c>
      <c r="T39" s="484">
        <v>199.5152641166835</v>
      </c>
      <c r="U39" s="484">
        <v>204.36717006520044</v>
      </c>
      <c r="V39" s="484">
        <v>200.48070010659146</v>
      </c>
      <c r="W39" s="484">
        <v>202.67495140040057</v>
      </c>
      <c r="X39" s="484">
        <v>224.04192767793074</v>
      </c>
      <c r="Y39" s="484">
        <v>215.891804633741</v>
      </c>
      <c r="Z39" s="484">
        <v>232.44999167896344</v>
      </c>
      <c r="AA39" s="484">
        <v>240.36605140565942</v>
      </c>
      <c r="AB39" s="484">
        <v>247.6935349296093</v>
      </c>
      <c r="AC39" s="484">
        <v>252.6465715346341</v>
      </c>
      <c r="AD39" s="484">
        <v>259.29812621495876</v>
      </c>
      <c r="AE39" s="184" t="s">
        <v>212</v>
      </c>
      <c r="AF39" s="20"/>
      <c r="AG39" s="920">
        <f t="shared" si="0"/>
        <v>0.026327508186323678</v>
      </c>
    </row>
    <row r="40" spans="1:33" ht="12.75" customHeight="1">
      <c r="A40" s="8"/>
      <c r="B40" s="498" t="s">
        <v>57</v>
      </c>
      <c r="C40" s="173"/>
      <c r="D40" s="173"/>
      <c r="E40" s="174"/>
      <c r="F40" s="175"/>
      <c r="G40" s="175"/>
      <c r="H40" s="175">
        <v>43.60674085113848</v>
      </c>
      <c r="I40" s="175">
        <v>46.75608539526051</v>
      </c>
      <c r="J40" s="175">
        <v>49.06364964191686</v>
      </c>
      <c r="K40" s="175">
        <v>51.57396997047838</v>
      </c>
      <c r="L40" s="175">
        <v>55.22915363811349</v>
      </c>
      <c r="M40" s="175">
        <v>58.34455890331282</v>
      </c>
      <c r="N40" s="175">
        <v>60.88146220422735</v>
      </c>
      <c r="O40" s="175">
        <v>68.31784474902719</v>
      </c>
      <c r="P40" s="175">
        <v>69.12476472169938</v>
      </c>
      <c r="Q40" s="175">
        <v>69.27728565879889</v>
      </c>
      <c r="R40" s="175">
        <v>69.95885275913432</v>
      </c>
      <c r="S40" s="175">
        <v>79.40629982660988</v>
      </c>
      <c r="T40" s="175">
        <v>83.83241089646422</v>
      </c>
      <c r="U40" s="175">
        <v>88.06819025168906</v>
      </c>
      <c r="V40" s="175">
        <v>91.69144769486002</v>
      </c>
      <c r="W40" s="175">
        <v>95.03501959671183</v>
      </c>
      <c r="X40" s="175">
        <v>97.76510104999204</v>
      </c>
      <c r="Y40" s="175">
        <v>102.34081939272455</v>
      </c>
      <c r="Z40" s="175">
        <v>108.57397614689278</v>
      </c>
      <c r="AA40" s="175">
        <v>114.36168412224862</v>
      </c>
      <c r="AB40" s="175">
        <v>121.09275667312188</v>
      </c>
      <c r="AC40" s="175">
        <v>126.87818137748935</v>
      </c>
      <c r="AD40" s="175">
        <v>134.48305041081937</v>
      </c>
      <c r="AE40" s="498" t="s">
        <v>57</v>
      </c>
      <c r="AF40" s="20"/>
      <c r="AG40" s="922">
        <f t="shared" si="0"/>
        <v>0.059938351501933385</v>
      </c>
    </row>
    <row r="41" spans="1:33" ht="12.75" customHeight="1">
      <c r="A41" s="8"/>
      <c r="B41" s="184" t="s">
        <v>43</v>
      </c>
      <c r="C41" s="482">
        <v>199.11733403634165</v>
      </c>
      <c r="D41" s="482">
        <v>374.67895188965974</v>
      </c>
      <c r="E41" s="483">
        <v>467.94415827034464</v>
      </c>
      <c r="F41" s="484">
        <v>465.3424557323651</v>
      </c>
      <c r="G41" s="484">
        <v>457.8979061382848</v>
      </c>
      <c r="H41" s="484">
        <v>438.36582863006663</v>
      </c>
      <c r="I41" s="484">
        <v>435.40291709429243</v>
      </c>
      <c r="J41" s="484">
        <v>444.96525574903535</v>
      </c>
      <c r="K41" s="484">
        <v>462.84191882137594</v>
      </c>
      <c r="L41" s="484">
        <v>486.3334814102305</v>
      </c>
      <c r="M41" s="484">
        <v>509.1254642525534</v>
      </c>
      <c r="N41" s="484">
        <v>542.5892943533214</v>
      </c>
      <c r="O41" s="484">
        <v>560.8958184083202</v>
      </c>
      <c r="P41" s="484">
        <v>557.8469859548111</v>
      </c>
      <c r="Q41" s="484">
        <v>560.6144118472914</v>
      </c>
      <c r="R41" s="484">
        <v>574.2815844719</v>
      </c>
      <c r="S41" s="484">
        <v>597.5502168085375</v>
      </c>
      <c r="T41" s="484">
        <v>625.033762266957</v>
      </c>
      <c r="U41" s="484">
        <v>641.2835747159313</v>
      </c>
      <c r="V41" s="484">
        <v>657.812901201107</v>
      </c>
      <c r="W41" s="484">
        <v>656.7345507377071</v>
      </c>
      <c r="X41" s="484">
        <v>646.4691622327865</v>
      </c>
      <c r="Y41" s="484">
        <v>642.9100774999057</v>
      </c>
      <c r="Z41" s="484">
        <v>644.9565829617461</v>
      </c>
      <c r="AA41" s="484">
        <v>652.6811596454326</v>
      </c>
      <c r="AB41" s="484">
        <v>654.3812620712314</v>
      </c>
      <c r="AC41" s="484">
        <v>660.7535703433607</v>
      </c>
      <c r="AD41" s="484">
        <v>680.6053005903244</v>
      </c>
      <c r="AE41" s="184" t="s">
        <v>43</v>
      </c>
      <c r="AF41" s="20"/>
      <c r="AG41" s="920">
        <f t="shared" si="0"/>
        <v>0.030044075640253798</v>
      </c>
    </row>
    <row r="42" spans="1:33" ht="12.75" customHeight="1">
      <c r="A42" s="8"/>
      <c r="B42" s="497" t="s">
        <v>73</v>
      </c>
      <c r="C42" s="170">
        <v>177.45521506157567</v>
      </c>
      <c r="D42" s="170">
        <v>300.5615369201972</v>
      </c>
      <c r="E42" s="171">
        <v>379.55329977904995</v>
      </c>
      <c r="F42" s="172">
        <v>377.8103131901328</v>
      </c>
      <c r="G42" s="172">
        <v>376.68646042361235</v>
      </c>
      <c r="H42" s="172">
        <v>377.60875320678457</v>
      </c>
      <c r="I42" s="172">
        <v>380.2948663994425</v>
      </c>
      <c r="J42" s="172">
        <v>385.5104295076587</v>
      </c>
      <c r="K42" s="172">
        <v>378.1823719914386</v>
      </c>
      <c r="L42" s="172">
        <v>397.95395643651676</v>
      </c>
      <c r="M42" s="172">
        <v>401.86091963047056</v>
      </c>
      <c r="N42" s="172">
        <v>404.9666662721891</v>
      </c>
      <c r="O42" s="172">
        <v>411.22578404578195</v>
      </c>
      <c r="P42" s="172">
        <v>413.97760333293104</v>
      </c>
      <c r="Q42" s="172">
        <v>417.32465601640683</v>
      </c>
      <c r="R42" s="172">
        <v>422.43105724422975</v>
      </c>
      <c r="S42" s="172">
        <v>429.3890863572845</v>
      </c>
      <c r="T42" s="172">
        <v>437.2442335157026</v>
      </c>
      <c r="U42" s="172">
        <v>445.23250135544083</v>
      </c>
      <c r="V42" s="172">
        <v>454.87844960631566</v>
      </c>
      <c r="W42" s="172">
        <v>457.8198852654539</v>
      </c>
      <c r="X42" s="172">
        <v>461.8995640153893</v>
      </c>
      <c r="Y42" s="172">
        <v>469.1879873300537</v>
      </c>
      <c r="Z42" s="172">
        <v>476.54672103364106</v>
      </c>
      <c r="AA42" s="172">
        <v>483.64026904098466</v>
      </c>
      <c r="AB42" s="172">
        <v>489.4831018976227</v>
      </c>
      <c r="AC42" s="172">
        <v>494.61849653139956</v>
      </c>
      <c r="AD42" s="172">
        <v>500.9579288547592</v>
      </c>
      <c r="AE42" s="497" t="s">
        <v>73</v>
      </c>
      <c r="AF42" s="20"/>
      <c r="AG42" s="919">
        <f t="shared" si="0"/>
        <v>0.012816812084093243</v>
      </c>
    </row>
    <row r="43" spans="1:33" ht="12.75" customHeight="1">
      <c r="A43" s="8"/>
      <c r="B43" s="184" t="s">
        <v>44</v>
      </c>
      <c r="C43" s="482">
        <v>223.3476407601161</v>
      </c>
      <c r="D43" s="482">
        <v>354.6433814772377</v>
      </c>
      <c r="E43" s="483">
        <v>441.8105578829537</v>
      </c>
      <c r="F43" s="484">
        <v>446.8656543667708</v>
      </c>
      <c r="G43" s="484">
        <v>447.48789041741566</v>
      </c>
      <c r="H43" s="484">
        <v>446.2211041863683</v>
      </c>
      <c r="I43" s="484">
        <v>450.9236974568668</v>
      </c>
      <c r="J43" s="484">
        <v>457.23791245808405</v>
      </c>
      <c r="K43" s="484">
        <v>461.50731795904335</v>
      </c>
      <c r="L43" s="484">
        <v>468.32542681461825</v>
      </c>
      <c r="M43" s="484">
        <v>474.9476278427416</v>
      </c>
      <c r="N43" s="484">
        <v>483.96093262784944</v>
      </c>
      <c r="O43" s="484">
        <v>492.1182583975275</v>
      </c>
      <c r="P43" s="484">
        <v>500.26000416502836</v>
      </c>
      <c r="Q43" s="484">
        <v>506.01933071392057</v>
      </c>
      <c r="R43" s="484">
        <v>509.75211253223046</v>
      </c>
      <c r="S43" s="484">
        <v>513.9984588209306</v>
      </c>
      <c r="T43" s="484">
        <v>517.6800827120811</v>
      </c>
      <c r="U43" s="484">
        <v>519.3966656718259</v>
      </c>
      <c r="V43" s="484">
        <v>520.9442451656641</v>
      </c>
      <c r="W43" s="484">
        <v>518.0324067341691</v>
      </c>
      <c r="X43" s="484">
        <v>514.9886858213523</v>
      </c>
      <c r="Y43" s="484">
        <v>517.8850830239993</v>
      </c>
      <c r="Z43" s="484">
        <v>523.3409037367019</v>
      </c>
      <c r="AA43" s="484">
        <v>529.2907379718525</v>
      </c>
      <c r="AB43" s="484">
        <v>530.8453171894403</v>
      </c>
      <c r="AC43" s="484">
        <v>532.2490618094979</v>
      </c>
      <c r="AD43" s="484">
        <v>535.3670642187953</v>
      </c>
      <c r="AE43" s="184" t="s">
        <v>44</v>
      </c>
      <c r="AF43" s="20"/>
      <c r="AG43" s="920">
        <f t="shared" si="0"/>
        <v>0.005858164218640605</v>
      </c>
    </row>
    <row r="44" spans="1:33" s="995" customFormat="1" ht="12.75" customHeight="1">
      <c r="A44" s="8"/>
      <c r="B44" s="997" t="s">
        <v>83</v>
      </c>
      <c r="C44" s="175"/>
      <c r="D44" s="175"/>
      <c r="E44" s="174">
        <v>581.8062827225131</v>
      </c>
      <c r="F44" s="175">
        <v>589.668549649493</v>
      </c>
      <c r="G44" s="175">
        <v>591.9043792687826</v>
      </c>
      <c r="H44" s="175">
        <v>586.1761794787199</v>
      </c>
      <c r="I44" s="175">
        <v>596.0364360573313</v>
      </c>
      <c r="J44" s="175">
        <v>608.6084791255699</v>
      </c>
      <c r="K44" s="175">
        <v>620.0430273255627</v>
      </c>
      <c r="L44" s="175">
        <v>636.2068965517241</v>
      </c>
      <c r="M44" s="175">
        <v>639.3565516164298</v>
      </c>
      <c r="N44" s="175">
        <v>652.25436378215</v>
      </c>
      <c r="O44" s="175">
        <v>662.8731400054772</v>
      </c>
      <c r="P44" s="175">
        <v>674.8993288590605</v>
      </c>
      <c r="Q44" s="175">
        <v>687.0330449162803</v>
      </c>
      <c r="R44" s="175">
        <v>685.9508952003266</v>
      </c>
      <c r="S44" s="175">
        <v>691.7630057803468</v>
      </c>
      <c r="T44" s="175">
        <v>698.8397077782553</v>
      </c>
      <c r="U44" s="175">
        <v>690.7700181983622</v>
      </c>
      <c r="V44" s="175">
        <v>689.2182373571671</v>
      </c>
      <c r="W44" s="175">
        <v>715.445783809604</v>
      </c>
      <c r="X44" s="175">
        <v>721.8198027525491</v>
      </c>
      <c r="Y44" s="175">
        <v>743.8656671000581</v>
      </c>
      <c r="Z44" s="175">
        <v>749.1980808773133</v>
      </c>
      <c r="AA44" s="175">
        <v>760.1932786796243</v>
      </c>
      <c r="AB44" s="175">
        <v>756.87468016914</v>
      </c>
      <c r="AC44" s="175">
        <v>762.0296526253813</v>
      </c>
      <c r="AD44" s="998">
        <v>765.5627026739674</v>
      </c>
      <c r="AE44" s="74" t="s">
        <v>83</v>
      </c>
      <c r="AF44" s="20"/>
      <c r="AG44" s="922">
        <f t="shared" si="0"/>
        <v>0.004636368199602003</v>
      </c>
    </row>
    <row r="45" spans="2:32" ht="15" customHeight="1">
      <c r="B45" s="1022" t="s">
        <v>175</v>
      </c>
      <c r="C45" s="1022"/>
      <c r="D45" s="1022"/>
      <c r="E45" s="1022"/>
      <c r="F45" s="1022"/>
      <c r="G45" s="1022"/>
      <c r="H45" s="1022"/>
      <c r="I45" s="1022"/>
      <c r="J45" s="1022"/>
      <c r="K45" s="1022"/>
      <c r="L45" s="1022"/>
      <c r="M45" s="1022"/>
      <c r="N45" s="1022"/>
      <c r="O45" s="1022"/>
      <c r="P45" s="1022"/>
      <c r="Q45" s="1022"/>
      <c r="R45" s="1022"/>
      <c r="S45" s="1022"/>
      <c r="T45" s="176"/>
      <c r="U45" s="176"/>
      <c r="V45" s="176"/>
      <c r="W45" s="176"/>
      <c r="X45" s="176"/>
      <c r="Y45" s="408"/>
      <c r="Z45" s="459"/>
      <c r="AA45" s="176"/>
      <c r="AB45" s="652"/>
      <c r="AC45" s="896"/>
      <c r="AD45" s="990"/>
      <c r="AE45" s="176"/>
      <c r="AF45" s="176"/>
    </row>
    <row r="46" spans="2:32" ht="27" customHeight="1">
      <c r="B46" s="1026" t="s">
        <v>235</v>
      </c>
      <c r="C46" s="1026"/>
      <c r="D46" s="1026"/>
      <c r="E46" s="1026"/>
      <c r="F46" s="1026"/>
      <c r="G46" s="1026"/>
      <c r="H46" s="1026"/>
      <c r="I46" s="1026"/>
      <c r="J46" s="1026"/>
      <c r="K46" s="1026"/>
      <c r="L46" s="1026"/>
      <c r="M46" s="1026"/>
      <c r="N46" s="1026"/>
      <c r="O46" s="1026"/>
      <c r="P46" s="1026"/>
      <c r="Q46" s="1026"/>
      <c r="R46" s="1026"/>
      <c r="S46" s="1026"/>
      <c r="T46" s="1026"/>
      <c r="U46" s="1026"/>
      <c r="V46" s="1026"/>
      <c r="W46" s="1026"/>
      <c r="X46" s="1026"/>
      <c r="Y46" s="1026"/>
      <c r="Z46" s="1026"/>
      <c r="AA46" s="1026"/>
      <c r="AB46" s="1026"/>
      <c r="AC46" s="1026"/>
      <c r="AD46" s="1026"/>
      <c r="AE46" s="1026"/>
      <c r="AF46" s="1026"/>
    </row>
    <row r="47" spans="2:17" ht="12.7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</sheetData>
  <sheetProtection/>
  <mergeCells count="5">
    <mergeCell ref="B45:S45"/>
    <mergeCell ref="B1:C1"/>
    <mergeCell ref="B2:AE2"/>
    <mergeCell ref="B3:AE3"/>
    <mergeCell ref="B46:AF46"/>
  </mergeCells>
  <printOptions horizontalCentered="1"/>
  <pageMargins left="0.6692913385826772" right="0.48" top="0.47" bottom="0.39" header="0.31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6">
    <pageSetUpPr fitToPage="1"/>
  </sheetPr>
  <dimension ref="A1:AF71"/>
  <sheetViews>
    <sheetView zoomScalePageLayoutView="0" workbookViewId="0" topLeftCell="A25">
      <selection activeCell="AG59" sqref="A57:AG59"/>
    </sheetView>
  </sheetViews>
  <sheetFormatPr defaultColWidth="9.140625" defaultRowHeight="12.75"/>
  <cols>
    <col min="1" max="1" width="2.7109375" style="3" customWidth="1"/>
    <col min="2" max="2" width="4.00390625" style="3" customWidth="1"/>
    <col min="3" max="9" width="6.7109375" style="3" customWidth="1"/>
    <col min="10" max="10" width="7.57421875" style="3" customWidth="1"/>
    <col min="11" max="15" width="6.7109375" style="3" customWidth="1"/>
    <col min="16" max="16" width="6.7109375" style="21" customWidth="1"/>
    <col min="17" max="17" width="6.7109375" style="27" customWidth="1"/>
    <col min="18" max="20" width="6.7109375" style="26" customWidth="1"/>
    <col min="21" max="25" width="7.28125" style="26" customWidth="1"/>
    <col min="26" max="26" width="6.7109375" style="3" customWidth="1"/>
    <col min="27" max="27" width="7.8515625" style="3" customWidth="1"/>
    <col min="28" max="28" width="6.7109375" style="3" customWidth="1"/>
    <col min="29" max="29" width="6.7109375" style="2" customWidth="1"/>
    <col min="30" max="30" width="7.00390625" style="3" customWidth="1"/>
    <col min="31" max="31" width="6.7109375" style="3" customWidth="1"/>
    <col min="32" max="32" width="4.7109375" style="3" customWidth="1"/>
    <col min="33" max="16384" width="9.140625" style="3" customWidth="1"/>
  </cols>
  <sheetData>
    <row r="1" spans="2:32" ht="14.25" customHeight="1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177"/>
      <c r="Q1" s="178"/>
      <c r="R1" s="179"/>
      <c r="S1" s="179"/>
      <c r="AF1" s="17" t="s">
        <v>147</v>
      </c>
    </row>
    <row r="2" spans="2:32" s="61" customFormat="1" ht="30" customHeight="1">
      <c r="B2" s="1024" t="s">
        <v>11</v>
      </c>
      <c r="C2" s="1024"/>
      <c r="D2" s="1024"/>
      <c r="E2" s="1024"/>
      <c r="F2" s="1024"/>
      <c r="G2" s="1024"/>
      <c r="H2" s="1024"/>
      <c r="I2" s="1024"/>
      <c r="J2" s="1024"/>
      <c r="K2" s="1024"/>
      <c r="L2" s="1024"/>
      <c r="M2" s="1024"/>
      <c r="N2" s="1024"/>
      <c r="O2" s="1024"/>
      <c r="P2" s="1024"/>
      <c r="Q2" s="1024"/>
      <c r="R2" s="1024"/>
      <c r="S2" s="1024"/>
      <c r="T2" s="1024"/>
      <c r="U2" s="1024"/>
      <c r="V2" s="1024"/>
      <c r="W2" s="1024"/>
      <c r="X2" s="1024"/>
      <c r="Y2" s="1024"/>
      <c r="Z2" s="1024"/>
      <c r="AA2" s="1024"/>
      <c r="AB2" s="1024"/>
      <c r="AC2" s="1024"/>
      <c r="AD2" s="1024"/>
      <c r="AE2" s="1024"/>
      <c r="AF2" s="1024"/>
    </row>
    <row r="3" spans="2:32" ht="19.5" customHeight="1">
      <c r="B3" s="1029" t="s">
        <v>112</v>
      </c>
      <c r="C3" s="1029"/>
      <c r="D3" s="1029"/>
      <c r="E3" s="1029"/>
      <c r="F3" s="1029"/>
      <c r="G3" s="1029"/>
      <c r="H3" s="1029"/>
      <c r="I3" s="1029"/>
      <c r="J3" s="1029"/>
      <c r="K3" s="1029"/>
      <c r="L3" s="1029"/>
      <c r="M3" s="1029"/>
      <c r="N3" s="1029"/>
      <c r="O3" s="1029"/>
      <c r="P3" s="1029"/>
      <c r="Q3" s="1029"/>
      <c r="R3" s="1029"/>
      <c r="S3" s="1029"/>
      <c r="T3" s="1029"/>
      <c r="U3" s="1029"/>
      <c r="V3" s="1029"/>
      <c r="W3" s="1029"/>
      <c r="X3" s="1029"/>
      <c r="Y3" s="1029"/>
      <c r="Z3" s="1029"/>
      <c r="AA3" s="1029"/>
      <c r="AB3" s="1029"/>
      <c r="AC3" s="1029"/>
      <c r="AD3" s="1029"/>
      <c r="AE3" s="1029"/>
      <c r="AF3" s="1029"/>
    </row>
    <row r="4" spans="23:25" ht="12.75" customHeight="1">
      <c r="W4" s="41"/>
      <c r="X4" s="41" t="s">
        <v>3</v>
      </c>
      <c r="Y4" s="41"/>
    </row>
    <row r="5" spans="2:32" ht="19.5" customHeight="1">
      <c r="B5" s="110"/>
      <c r="C5" s="113">
        <v>1970</v>
      </c>
      <c r="D5" s="113">
        <v>1980</v>
      </c>
      <c r="E5" s="97">
        <v>1990</v>
      </c>
      <c r="F5" s="98">
        <v>1991</v>
      </c>
      <c r="G5" s="98">
        <v>1992</v>
      </c>
      <c r="H5" s="98">
        <v>1993</v>
      </c>
      <c r="I5" s="98">
        <v>1994</v>
      </c>
      <c r="J5" s="98">
        <v>1995</v>
      </c>
      <c r="K5" s="98">
        <v>1996</v>
      </c>
      <c r="L5" s="98">
        <v>1997</v>
      </c>
      <c r="M5" s="98">
        <v>1998</v>
      </c>
      <c r="N5" s="98">
        <v>1999</v>
      </c>
      <c r="O5" s="98">
        <v>2000</v>
      </c>
      <c r="P5" s="98">
        <v>2001</v>
      </c>
      <c r="Q5" s="98">
        <v>2002</v>
      </c>
      <c r="R5" s="98">
        <v>2003</v>
      </c>
      <c r="S5" s="98">
        <v>2004</v>
      </c>
      <c r="T5" s="98">
        <v>2005</v>
      </c>
      <c r="U5" s="98">
        <v>2006</v>
      </c>
      <c r="V5" s="98">
        <v>2007</v>
      </c>
      <c r="W5" s="98">
        <v>2008</v>
      </c>
      <c r="X5" s="98">
        <v>2009</v>
      </c>
      <c r="Y5" s="98">
        <v>2010</v>
      </c>
      <c r="Z5" s="98">
        <v>2011</v>
      </c>
      <c r="AA5" s="98">
        <v>2012</v>
      </c>
      <c r="AB5" s="98">
        <v>2013</v>
      </c>
      <c r="AC5" s="888">
        <v>2014</v>
      </c>
      <c r="AD5" s="888">
        <v>2015</v>
      </c>
      <c r="AE5" s="180" t="s">
        <v>258</v>
      </c>
      <c r="AF5" s="2"/>
    </row>
    <row r="6" spans="2:32" ht="9.75" customHeight="1">
      <c r="B6" s="110"/>
      <c r="C6" s="114"/>
      <c r="D6" s="114"/>
      <c r="E6" s="142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409"/>
      <c r="Z6" s="411"/>
      <c r="AA6" s="411"/>
      <c r="AB6" s="411"/>
      <c r="AC6" s="411"/>
      <c r="AD6" s="411"/>
      <c r="AE6" s="410" t="s">
        <v>104</v>
      </c>
      <c r="AF6" s="2"/>
    </row>
    <row r="7" spans="2:32" ht="12.75" customHeight="1">
      <c r="B7" s="182" t="s">
        <v>222</v>
      </c>
      <c r="C7" s="545"/>
      <c r="D7" s="545"/>
      <c r="E7" s="546">
        <f>SUM(E10:E37)</f>
        <v>160106.357</v>
      </c>
      <c r="F7" s="546">
        <f aca="true" t="shared" si="0" ref="F7:U7">SUM(F10:F37)</f>
        <v>164975.90199999997</v>
      </c>
      <c r="G7" s="546">
        <f t="shared" si="0"/>
        <v>169329.84900000002</v>
      </c>
      <c r="H7" s="546">
        <f t="shared" si="0"/>
        <v>172499.268</v>
      </c>
      <c r="I7" s="546">
        <f t="shared" si="0"/>
        <v>176104.738</v>
      </c>
      <c r="J7" s="547">
        <f t="shared" si="0"/>
        <v>179690.021</v>
      </c>
      <c r="K7" s="547">
        <f t="shared" si="0"/>
        <v>184242.024</v>
      </c>
      <c r="L7" s="547">
        <f t="shared" si="0"/>
        <v>184303.21699999998</v>
      </c>
      <c r="M7" s="547">
        <f t="shared" si="0"/>
        <v>189473.42500000002</v>
      </c>
      <c r="N7" s="547">
        <f t="shared" si="0"/>
        <v>195244.98400000003</v>
      </c>
      <c r="O7" s="547">
        <f t="shared" si="0"/>
        <v>200245.12099999998</v>
      </c>
      <c r="P7" s="547">
        <f t="shared" si="0"/>
        <v>205127.61099999998</v>
      </c>
      <c r="Q7" s="547">
        <f t="shared" si="0"/>
        <v>209460.707</v>
      </c>
      <c r="R7" s="547">
        <f t="shared" si="0"/>
        <v>212757.86899999995</v>
      </c>
      <c r="S7" s="547">
        <f t="shared" si="0"/>
        <v>216600.8559999999</v>
      </c>
      <c r="T7" s="547">
        <f t="shared" si="0"/>
        <v>221210.85999999993</v>
      </c>
      <c r="U7" s="547">
        <f t="shared" si="0"/>
        <v>225288.59</v>
      </c>
      <c r="V7" s="547">
        <f aca="true" t="shared" si="1" ref="V7:AA7">SUM(V10:V37)</f>
        <v>230277.99099999995</v>
      </c>
      <c r="W7" s="547">
        <f t="shared" si="1"/>
        <v>235121.61599999998</v>
      </c>
      <c r="X7" s="547">
        <f t="shared" si="1"/>
        <v>237228.39399999997</v>
      </c>
      <c r="Y7" s="547">
        <f t="shared" si="1"/>
        <v>240069.577</v>
      </c>
      <c r="Z7" s="547">
        <f t="shared" si="1"/>
        <v>243246.37399999998</v>
      </c>
      <c r="AA7" s="547">
        <f t="shared" si="1"/>
        <v>245375.178</v>
      </c>
      <c r="AB7" s="547">
        <f>SUM(AB10:AB37)</f>
        <v>247404.44199999998</v>
      </c>
      <c r="AC7" s="889">
        <f>SUM(AC10:AC37)</f>
        <v>249789.65500000006</v>
      </c>
      <c r="AD7" s="889">
        <f>SUM(AD10:AD37)</f>
        <v>254234.55600000004</v>
      </c>
      <c r="AE7" s="194">
        <f>AD7/AC7*100-100</f>
        <v>1.7794576000354994</v>
      </c>
      <c r="AF7" s="182" t="s">
        <v>222</v>
      </c>
    </row>
    <row r="8" spans="2:32" ht="12.75" customHeight="1">
      <c r="B8" s="184" t="s">
        <v>227</v>
      </c>
      <c r="C8" s="548">
        <f aca="true" t="shared" si="2" ref="C8:U8">C10+C13+C14+C17+C18+C19+C16+C21+C25+C28+C29+C31+C35+C36+C37</f>
        <v>62477.114</v>
      </c>
      <c r="D8" s="548">
        <f t="shared" si="2"/>
        <v>104314.42300000001</v>
      </c>
      <c r="E8" s="549">
        <f>E10+E13+E14+E17+E18+E19+E16+E21+E25+E28+E29+E31+E35+E36+E37</f>
        <v>144518.968</v>
      </c>
      <c r="F8" s="549">
        <f t="shared" si="2"/>
        <v>148010.452</v>
      </c>
      <c r="G8" s="549">
        <f t="shared" si="2"/>
        <v>151461.275</v>
      </c>
      <c r="H8" s="549">
        <f t="shared" si="2"/>
        <v>153573.189</v>
      </c>
      <c r="I8" s="549">
        <f t="shared" si="2"/>
        <v>156256.94100000002</v>
      </c>
      <c r="J8" s="550">
        <f t="shared" si="2"/>
        <v>158766.86400000003</v>
      </c>
      <c r="K8" s="550">
        <f t="shared" si="2"/>
        <v>162079.055</v>
      </c>
      <c r="L8" s="550">
        <f t="shared" si="2"/>
        <v>160897.335</v>
      </c>
      <c r="M8" s="550">
        <f t="shared" si="2"/>
        <v>165121.279</v>
      </c>
      <c r="N8" s="550">
        <f t="shared" si="2"/>
        <v>169997.49</v>
      </c>
      <c r="O8" s="550">
        <f t="shared" si="2"/>
        <v>173765.024</v>
      </c>
      <c r="P8" s="550">
        <f t="shared" si="2"/>
        <v>177672.84000000003</v>
      </c>
      <c r="Q8" s="550">
        <f t="shared" si="2"/>
        <v>180851.76299999995</v>
      </c>
      <c r="R8" s="550">
        <f t="shared" si="2"/>
        <v>183222.79399999997</v>
      </c>
      <c r="S8" s="550">
        <f t="shared" si="2"/>
        <v>185829.15</v>
      </c>
      <c r="T8" s="550">
        <f t="shared" si="2"/>
        <v>189214.379</v>
      </c>
      <c r="U8" s="550">
        <f t="shared" si="2"/>
        <v>192161.685</v>
      </c>
      <c r="V8" s="550">
        <f aca="true" t="shared" si="3" ref="V8:AA8">V10+V13+V14+V17+V18+V19+V16+V21+V25+V28+V29+V31+V35+V36+V37</f>
        <v>195182.68199999997</v>
      </c>
      <c r="W8" s="550">
        <f t="shared" si="3"/>
        <v>197215.74699999997</v>
      </c>
      <c r="X8" s="550">
        <f t="shared" si="3"/>
        <v>198517.98799999998</v>
      </c>
      <c r="Y8" s="550">
        <f t="shared" si="3"/>
        <v>200596.39</v>
      </c>
      <c r="Z8" s="550">
        <f t="shared" si="3"/>
        <v>202591.314</v>
      </c>
      <c r="AA8" s="550">
        <f t="shared" si="3"/>
        <v>203610.18300000002</v>
      </c>
      <c r="AB8" s="550">
        <f>AB10+AB13+AB14+AB17+AB18+AB19+AB16+AB21+AB25+AB28+AB29+AB31+AB35+AB36+AB37</f>
        <v>204444.12200000003</v>
      </c>
      <c r="AC8" s="550">
        <f>AC10+AC13+AC14+AC17+AC18+AC19+AC16+AC21+AC25+AC28+AC29+AC31+AC35+AC36+AC37</f>
        <v>206169.85800000004</v>
      </c>
      <c r="AD8" s="550">
        <f>AD10+AD13+AD14+AD17+AD18+AD19+AD16+AD21+AD25+AD28+AD29+AD31+AD35+AD36+AD37</f>
        <v>208906.42600000004</v>
      </c>
      <c r="AE8" s="196">
        <f aca="true" t="shared" si="4" ref="AE8:AE46">AD8/AC8*100-100</f>
        <v>1.327336608050615</v>
      </c>
      <c r="AF8" s="184" t="s">
        <v>227</v>
      </c>
    </row>
    <row r="9" spans="2:32" ht="12.75" customHeight="1">
      <c r="B9" s="186" t="s">
        <v>231</v>
      </c>
      <c r="C9" s="551"/>
      <c r="D9" s="551"/>
      <c r="E9" s="552">
        <f aca="true" t="shared" si="5" ref="E9:X9">E7-E8</f>
        <v>15587.388999999996</v>
      </c>
      <c r="F9" s="553">
        <f t="shared" si="5"/>
        <v>16965.449999999983</v>
      </c>
      <c r="G9" s="553">
        <f t="shared" si="5"/>
        <v>17868.574000000022</v>
      </c>
      <c r="H9" s="553">
        <f t="shared" si="5"/>
        <v>18926.078999999998</v>
      </c>
      <c r="I9" s="553">
        <f t="shared" si="5"/>
        <v>19847.79699999999</v>
      </c>
      <c r="J9" s="553">
        <f t="shared" si="5"/>
        <v>20923.156999999977</v>
      </c>
      <c r="K9" s="553">
        <f t="shared" si="5"/>
        <v>22162.969000000012</v>
      </c>
      <c r="L9" s="553">
        <f t="shared" si="5"/>
        <v>23405.881999999983</v>
      </c>
      <c r="M9" s="553">
        <f t="shared" si="5"/>
        <v>24352.146000000008</v>
      </c>
      <c r="N9" s="553">
        <f t="shared" si="5"/>
        <v>25247.494000000035</v>
      </c>
      <c r="O9" s="553">
        <f t="shared" si="5"/>
        <v>26480.09699999998</v>
      </c>
      <c r="P9" s="553">
        <f t="shared" si="5"/>
        <v>27454.77099999995</v>
      </c>
      <c r="Q9" s="553">
        <f t="shared" si="5"/>
        <v>28608.944000000047</v>
      </c>
      <c r="R9" s="553">
        <f t="shared" si="5"/>
        <v>29535.074999999983</v>
      </c>
      <c r="S9" s="553">
        <f t="shared" si="5"/>
        <v>30771.70599999992</v>
      </c>
      <c r="T9" s="553">
        <f t="shared" si="5"/>
        <v>31996.48099999994</v>
      </c>
      <c r="U9" s="553">
        <f t="shared" si="5"/>
        <v>33126.905</v>
      </c>
      <c r="V9" s="553">
        <f t="shared" si="5"/>
        <v>35095.30899999998</v>
      </c>
      <c r="W9" s="553">
        <f t="shared" si="5"/>
        <v>37905.869000000006</v>
      </c>
      <c r="X9" s="553">
        <f t="shared" si="5"/>
        <v>38710.40599999999</v>
      </c>
      <c r="Y9" s="553">
        <f aca="true" t="shared" si="6" ref="Y9:AD9">Y7-Y8</f>
        <v>39473.186999999976</v>
      </c>
      <c r="Z9" s="553">
        <f t="shared" si="6"/>
        <v>40655.05999999997</v>
      </c>
      <c r="AA9" s="553">
        <f t="shared" si="6"/>
        <v>41764.994999999995</v>
      </c>
      <c r="AB9" s="553">
        <f t="shared" si="6"/>
        <v>42960.31999999995</v>
      </c>
      <c r="AC9" s="553">
        <f t="shared" si="6"/>
        <v>43619.79700000002</v>
      </c>
      <c r="AD9" s="553">
        <f t="shared" si="6"/>
        <v>45328.130000000005</v>
      </c>
      <c r="AE9" s="198">
        <f t="shared" si="4"/>
        <v>3.9164166674136</v>
      </c>
      <c r="AF9" s="186" t="s">
        <v>231</v>
      </c>
    </row>
    <row r="10" spans="1:32" ht="12.75" customHeight="1">
      <c r="A10" s="8"/>
      <c r="B10" s="10" t="s">
        <v>62</v>
      </c>
      <c r="C10" s="188">
        <v>2059.616</v>
      </c>
      <c r="D10" s="188">
        <v>3158.737</v>
      </c>
      <c r="E10" s="554">
        <v>3864.159</v>
      </c>
      <c r="F10" s="554">
        <v>3970</v>
      </c>
      <c r="G10" s="554">
        <v>4021</v>
      </c>
      <c r="H10" s="554">
        <v>4109.601</v>
      </c>
      <c r="I10" s="554">
        <v>4210.197</v>
      </c>
      <c r="J10" s="554">
        <v>4273.451</v>
      </c>
      <c r="K10" s="554">
        <v>4339.231</v>
      </c>
      <c r="L10" s="554">
        <v>4415.343</v>
      </c>
      <c r="M10" s="554">
        <v>4491.734</v>
      </c>
      <c r="N10" s="554">
        <v>4583.615</v>
      </c>
      <c r="O10" s="554">
        <v>4678.376</v>
      </c>
      <c r="P10" s="554">
        <v>4739.85</v>
      </c>
      <c r="Q10" s="554">
        <v>4787.359</v>
      </c>
      <c r="R10" s="554">
        <v>4820.868</v>
      </c>
      <c r="S10" s="554">
        <v>4874.426</v>
      </c>
      <c r="T10" s="554">
        <v>4918.544</v>
      </c>
      <c r="U10" s="554">
        <v>4976.286</v>
      </c>
      <c r="V10" s="554">
        <v>5042.095</v>
      </c>
      <c r="W10" s="554">
        <v>5123.972</v>
      </c>
      <c r="X10" s="554">
        <v>5191.714</v>
      </c>
      <c r="Y10" s="554">
        <v>5275.61</v>
      </c>
      <c r="Z10" s="554">
        <v>5406.362</v>
      </c>
      <c r="AA10" s="554">
        <v>5440.754</v>
      </c>
      <c r="AB10" s="554">
        <v>5504.809</v>
      </c>
      <c r="AC10" s="554">
        <v>5572.573</v>
      </c>
      <c r="AD10" s="554">
        <v>5661.742</v>
      </c>
      <c r="AE10" s="154">
        <f t="shared" si="4"/>
        <v>1.600140545489495</v>
      </c>
      <c r="AF10" s="10" t="s">
        <v>62</v>
      </c>
    </row>
    <row r="11" spans="1:32" ht="12.75" customHeight="1">
      <c r="A11" s="8"/>
      <c r="B11" s="184" t="s">
        <v>45</v>
      </c>
      <c r="C11" s="189">
        <v>160</v>
      </c>
      <c r="D11" s="189">
        <v>820</v>
      </c>
      <c r="E11" s="555">
        <v>1317.4</v>
      </c>
      <c r="F11" s="555">
        <v>1359</v>
      </c>
      <c r="G11" s="555">
        <v>1411.3</v>
      </c>
      <c r="H11" s="555">
        <v>1505.451</v>
      </c>
      <c r="I11" s="555">
        <v>1587.873</v>
      </c>
      <c r="J11" s="555">
        <v>1647.571</v>
      </c>
      <c r="K11" s="555">
        <v>1707.023</v>
      </c>
      <c r="L11" s="555">
        <v>1730.506</v>
      </c>
      <c r="M11" s="555">
        <v>1809.35</v>
      </c>
      <c r="N11" s="555">
        <v>1908.4</v>
      </c>
      <c r="O11" s="555">
        <v>1992.7</v>
      </c>
      <c r="P11" s="555">
        <v>2085.7</v>
      </c>
      <c r="Q11" s="555">
        <v>2174.1</v>
      </c>
      <c r="R11" s="555">
        <v>2309.3</v>
      </c>
      <c r="S11" s="555">
        <v>2438.4</v>
      </c>
      <c r="T11" s="556">
        <v>2538.092</v>
      </c>
      <c r="U11" s="555">
        <v>1767.742</v>
      </c>
      <c r="V11" s="555">
        <v>2081.517</v>
      </c>
      <c r="W11" s="555">
        <v>2366.196</v>
      </c>
      <c r="X11" s="555">
        <v>2502</v>
      </c>
      <c r="Y11" s="555">
        <v>2602.4</v>
      </c>
      <c r="Z11" s="555">
        <v>2695</v>
      </c>
      <c r="AA11" s="555">
        <v>2807</v>
      </c>
      <c r="AB11" s="555">
        <v>2910.2</v>
      </c>
      <c r="AC11" s="555">
        <v>3013.9</v>
      </c>
      <c r="AD11" s="555">
        <v>3162</v>
      </c>
      <c r="AE11" s="209">
        <f t="shared" si="4"/>
        <v>4.913898934934792</v>
      </c>
      <c r="AF11" s="184" t="s">
        <v>45</v>
      </c>
    </row>
    <row r="12" spans="1:32" ht="12.75" customHeight="1">
      <c r="A12" s="8"/>
      <c r="B12" s="10" t="s">
        <v>47</v>
      </c>
      <c r="C12" s="188">
        <v>685</v>
      </c>
      <c r="D12" s="188">
        <v>1780</v>
      </c>
      <c r="E12" s="554">
        <v>2410</v>
      </c>
      <c r="F12" s="554">
        <v>2480</v>
      </c>
      <c r="G12" s="554">
        <v>2580</v>
      </c>
      <c r="H12" s="554">
        <v>2833.143</v>
      </c>
      <c r="I12" s="554">
        <v>2923.916</v>
      </c>
      <c r="J12" s="554">
        <v>3043.316</v>
      </c>
      <c r="K12" s="554">
        <v>3192.532</v>
      </c>
      <c r="L12" s="554">
        <v>3391.541</v>
      </c>
      <c r="M12" s="554">
        <v>3492.961</v>
      </c>
      <c r="N12" s="554">
        <v>3439.745</v>
      </c>
      <c r="O12" s="554">
        <v>3438.87</v>
      </c>
      <c r="P12" s="554">
        <v>3529.791</v>
      </c>
      <c r="Q12" s="554">
        <v>3647.067</v>
      </c>
      <c r="R12" s="554">
        <v>3706.012</v>
      </c>
      <c r="S12" s="554">
        <v>3815.547</v>
      </c>
      <c r="T12" s="554">
        <v>3958.708</v>
      </c>
      <c r="U12" s="554">
        <v>4108.61</v>
      </c>
      <c r="V12" s="554">
        <v>4280.081</v>
      </c>
      <c r="W12" s="554">
        <v>4423.37</v>
      </c>
      <c r="X12" s="554">
        <v>4435.052</v>
      </c>
      <c r="Y12" s="554">
        <v>4496.232</v>
      </c>
      <c r="Z12" s="554">
        <v>4581.642</v>
      </c>
      <c r="AA12" s="554">
        <v>4706</v>
      </c>
      <c r="AB12" s="554">
        <v>4729.185</v>
      </c>
      <c r="AC12" s="554">
        <v>4833.386</v>
      </c>
      <c r="AD12" s="554">
        <v>5115.316</v>
      </c>
      <c r="AE12" s="156">
        <f t="shared" si="4"/>
        <v>5.832970923489242</v>
      </c>
      <c r="AF12" s="10" t="s">
        <v>47</v>
      </c>
    </row>
    <row r="13" spans="1:32" ht="12.75" customHeight="1">
      <c r="A13" s="8"/>
      <c r="B13" s="184" t="s">
        <v>58</v>
      </c>
      <c r="C13" s="189">
        <v>1076.875</v>
      </c>
      <c r="D13" s="189">
        <v>1390</v>
      </c>
      <c r="E13" s="555">
        <v>1590</v>
      </c>
      <c r="F13" s="555">
        <v>1594</v>
      </c>
      <c r="G13" s="555">
        <v>1604.053</v>
      </c>
      <c r="H13" s="555">
        <v>1617.734</v>
      </c>
      <c r="I13" s="555">
        <v>1611.191</v>
      </c>
      <c r="J13" s="555">
        <v>1679.007</v>
      </c>
      <c r="K13" s="555">
        <v>1738.854</v>
      </c>
      <c r="L13" s="555">
        <v>1783.098</v>
      </c>
      <c r="M13" s="555">
        <v>1817.147</v>
      </c>
      <c r="N13" s="555">
        <v>1843.254</v>
      </c>
      <c r="O13" s="555">
        <v>1854.06</v>
      </c>
      <c r="P13" s="555">
        <v>1872.631</v>
      </c>
      <c r="Q13" s="555">
        <v>1888.29</v>
      </c>
      <c r="R13" s="555">
        <v>1894.649</v>
      </c>
      <c r="S13" s="555">
        <v>1915.821</v>
      </c>
      <c r="T13" s="555">
        <v>1964.682</v>
      </c>
      <c r="U13" s="555">
        <v>2020.013</v>
      </c>
      <c r="V13" s="555">
        <v>2068.493</v>
      </c>
      <c r="W13" s="555">
        <v>2099.09</v>
      </c>
      <c r="X13" s="555">
        <v>2120.322</v>
      </c>
      <c r="Y13" s="555">
        <v>2163.675</v>
      </c>
      <c r="Z13" s="555">
        <v>2197.831</v>
      </c>
      <c r="AA13" s="555">
        <v>2237.122</v>
      </c>
      <c r="AB13" s="555">
        <v>2278.121</v>
      </c>
      <c r="AC13" s="555">
        <v>2329.578</v>
      </c>
      <c r="AD13" s="555">
        <v>2390.823</v>
      </c>
      <c r="AE13" s="209">
        <f t="shared" si="4"/>
        <v>2.6290169292464043</v>
      </c>
      <c r="AF13" s="184" t="s">
        <v>58</v>
      </c>
    </row>
    <row r="14" spans="1:32" ht="12.75" customHeight="1">
      <c r="A14" s="8"/>
      <c r="B14" s="10" t="s">
        <v>63</v>
      </c>
      <c r="C14" s="188">
        <v>15107.079</v>
      </c>
      <c r="D14" s="188">
        <v>25869.616000000005</v>
      </c>
      <c r="E14" s="554">
        <v>36772</v>
      </c>
      <c r="F14" s="554">
        <v>37947</v>
      </c>
      <c r="G14" s="554">
        <v>38892</v>
      </c>
      <c r="H14" s="554">
        <v>39202.066</v>
      </c>
      <c r="I14" s="554">
        <v>39917.577</v>
      </c>
      <c r="J14" s="554">
        <v>40499.442</v>
      </c>
      <c r="K14" s="557">
        <v>41045.217</v>
      </c>
      <c r="L14" s="554">
        <v>36924.647</v>
      </c>
      <c r="M14" s="554">
        <v>37553.549</v>
      </c>
      <c r="N14" s="554">
        <v>38426.776</v>
      </c>
      <c r="O14" s="554">
        <v>39058.937</v>
      </c>
      <c r="P14" s="554">
        <v>39388.319</v>
      </c>
      <c r="Q14" s="554">
        <v>39720.951</v>
      </c>
      <c r="R14" s="554">
        <v>40017.482</v>
      </c>
      <c r="S14" s="554">
        <v>40179.477</v>
      </c>
      <c r="T14" s="554">
        <v>40659.5</v>
      </c>
      <c r="U14" s="554">
        <v>41019.7</v>
      </c>
      <c r="V14" s="554">
        <v>41183.594</v>
      </c>
      <c r="W14" s="554">
        <v>41321.171</v>
      </c>
      <c r="X14" s="554">
        <v>41737.627</v>
      </c>
      <c r="Y14" s="554">
        <v>42301.563</v>
      </c>
      <c r="Z14" s="554">
        <v>42928</v>
      </c>
      <c r="AA14" s="554">
        <v>43431</v>
      </c>
      <c r="AB14" s="554">
        <v>43851.23</v>
      </c>
      <c r="AC14" s="554">
        <v>44403.124</v>
      </c>
      <c r="AD14" s="554">
        <v>45071.209</v>
      </c>
      <c r="AE14" s="156">
        <f t="shared" si="4"/>
        <v>1.5045900824455458</v>
      </c>
      <c r="AF14" s="10" t="s">
        <v>63</v>
      </c>
    </row>
    <row r="15" spans="1:32" ht="12.75" customHeight="1">
      <c r="A15" s="8"/>
      <c r="B15" s="184" t="s">
        <v>48</v>
      </c>
      <c r="C15" s="189">
        <v>30</v>
      </c>
      <c r="D15" s="189">
        <v>127</v>
      </c>
      <c r="E15" s="555">
        <v>241</v>
      </c>
      <c r="F15" s="555">
        <v>261</v>
      </c>
      <c r="G15" s="555">
        <v>284</v>
      </c>
      <c r="H15" s="555">
        <v>317.425</v>
      </c>
      <c r="I15" s="555">
        <v>337.812</v>
      </c>
      <c r="J15" s="555">
        <v>383.444</v>
      </c>
      <c r="K15" s="555">
        <v>406.598</v>
      </c>
      <c r="L15" s="555">
        <v>427.678</v>
      </c>
      <c r="M15" s="555">
        <v>450.954</v>
      </c>
      <c r="N15" s="555">
        <v>458.7</v>
      </c>
      <c r="O15" s="555">
        <v>463.9</v>
      </c>
      <c r="P15" s="555">
        <v>407.3</v>
      </c>
      <c r="Q15" s="555">
        <v>400.7</v>
      </c>
      <c r="R15" s="555">
        <v>434</v>
      </c>
      <c r="S15" s="555">
        <v>471.2</v>
      </c>
      <c r="T15" s="555">
        <v>493.78</v>
      </c>
      <c r="U15" s="556">
        <v>554.012</v>
      </c>
      <c r="V15" s="555">
        <v>523.766</v>
      </c>
      <c r="W15" s="555">
        <v>551.83</v>
      </c>
      <c r="X15" s="555">
        <v>545.7</v>
      </c>
      <c r="Y15" s="555">
        <v>552.7</v>
      </c>
      <c r="Z15" s="555">
        <v>574</v>
      </c>
      <c r="AA15" s="555">
        <v>602.1</v>
      </c>
      <c r="AB15" s="555">
        <v>628.5</v>
      </c>
      <c r="AC15" s="555">
        <v>653</v>
      </c>
      <c r="AD15" s="555">
        <v>676.6</v>
      </c>
      <c r="AE15" s="209">
        <f t="shared" si="4"/>
        <v>3.6140888208269644</v>
      </c>
      <c r="AF15" s="184" t="s">
        <v>48</v>
      </c>
    </row>
    <row r="16" spans="1:32" ht="12.75" customHeight="1">
      <c r="A16" s="8"/>
      <c r="B16" s="10" t="s">
        <v>66</v>
      </c>
      <c r="C16" s="188">
        <v>393.459</v>
      </c>
      <c r="D16" s="188">
        <v>738.114</v>
      </c>
      <c r="E16" s="554">
        <f>796.408+4.977</f>
        <v>801.385</v>
      </c>
      <c r="F16" s="554">
        <f>836.583+5.363</f>
        <v>841.946</v>
      </c>
      <c r="G16" s="554">
        <f>858.498+5.711</f>
        <v>864.2090000000001</v>
      </c>
      <c r="H16" s="554">
        <f>891.027+6.144</f>
        <v>897.171</v>
      </c>
      <c r="I16" s="554">
        <f>939.022+6.925</f>
        <v>945.947</v>
      </c>
      <c r="J16" s="554">
        <f>990.384+8.086</f>
        <v>998.47</v>
      </c>
      <c r="K16" s="554">
        <f>1057.383+9.219</f>
        <v>1066.602</v>
      </c>
      <c r="L16" s="554">
        <f>1134.429+10.34</f>
        <v>1144.769</v>
      </c>
      <c r="M16" s="554">
        <f>1196.901+11.249</f>
        <v>1208.15</v>
      </c>
      <c r="N16" s="554">
        <f>1269.245+13.076</f>
        <v>1282.321</v>
      </c>
      <c r="O16" s="554">
        <f>1319.25+13.637</f>
        <v>1332.887</v>
      </c>
      <c r="P16" s="554">
        <f>1384.704+16.547</f>
        <v>1401.251</v>
      </c>
      <c r="Q16" s="554">
        <f>1447.908+18.252</f>
        <v>1466.1599999999999</v>
      </c>
      <c r="R16" s="554">
        <f>1507.106+19.856</f>
        <v>1526.962</v>
      </c>
      <c r="S16" s="554">
        <f>1582.833+20.744</f>
        <v>1603.577</v>
      </c>
      <c r="T16" s="554">
        <f>1662.157+21.888</f>
        <v>1684.0449999999998</v>
      </c>
      <c r="U16" s="554">
        <f>1778.861+23.284</f>
        <v>1802.1450000000002</v>
      </c>
      <c r="V16" s="554">
        <f>1882.901+26.654</f>
        <v>1909.555</v>
      </c>
      <c r="W16" s="554">
        <f>1924.281+29.053</f>
        <v>1953.334</v>
      </c>
      <c r="X16" s="554">
        <f>1902.429+28.284</f>
        <v>1930.7130000000002</v>
      </c>
      <c r="Y16" s="554">
        <f>1872.715+26.68</f>
        <v>1899.395</v>
      </c>
      <c r="Z16" s="554">
        <f>1887.81+25.129</f>
        <v>1912.9389999999999</v>
      </c>
      <c r="AA16" s="554">
        <f>1882.55+24.18</f>
        <v>1906.73</v>
      </c>
      <c r="AB16" s="554">
        <f>1910.165+22.964</f>
        <v>1933.129</v>
      </c>
      <c r="AC16" s="554">
        <f>1943.868+22.373</f>
        <v>1966.241</v>
      </c>
      <c r="AD16" s="554">
        <f>1985.13+21.977</f>
        <v>2007.1070000000002</v>
      </c>
      <c r="AE16" s="156">
        <f t="shared" si="4"/>
        <v>2.078382049809761</v>
      </c>
      <c r="AF16" s="10" t="s">
        <v>66</v>
      </c>
    </row>
    <row r="17" spans="1:32" ht="12.75" customHeight="1">
      <c r="A17" s="8"/>
      <c r="B17" s="184" t="s">
        <v>59</v>
      </c>
      <c r="C17" s="189">
        <v>226.893</v>
      </c>
      <c r="D17" s="189">
        <v>862.609</v>
      </c>
      <c r="E17" s="555">
        <v>1735.523</v>
      </c>
      <c r="F17" s="555">
        <v>1777.484</v>
      </c>
      <c r="G17" s="555">
        <v>1829.1</v>
      </c>
      <c r="H17" s="555">
        <v>1958.544</v>
      </c>
      <c r="I17" s="555">
        <v>2074.081</v>
      </c>
      <c r="J17" s="555">
        <v>2204.761</v>
      </c>
      <c r="K17" s="555">
        <v>2339.421</v>
      </c>
      <c r="L17" s="555">
        <v>2500.099</v>
      </c>
      <c r="M17" s="555">
        <v>2675.676</v>
      </c>
      <c r="N17" s="555">
        <v>2928.881</v>
      </c>
      <c r="O17" s="555">
        <v>3195.065</v>
      </c>
      <c r="P17" s="555">
        <v>3423.704</v>
      </c>
      <c r="Q17" s="555">
        <v>3646.069</v>
      </c>
      <c r="R17" s="555">
        <v>3839.549</v>
      </c>
      <c r="S17" s="555">
        <v>4073.511</v>
      </c>
      <c r="T17" s="555">
        <v>4303.129</v>
      </c>
      <c r="U17" s="555">
        <v>4543.016</v>
      </c>
      <c r="V17" s="555">
        <v>4798.53</v>
      </c>
      <c r="W17" s="555">
        <v>5023.944</v>
      </c>
      <c r="X17" s="555">
        <v>5131.96</v>
      </c>
      <c r="Y17" s="555">
        <v>5216.873</v>
      </c>
      <c r="Z17" s="555">
        <v>5203.591</v>
      </c>
      <c r="AA17" s="555">
        <v>5167.557</v>
      </c>
      <c r="AB17" s="555">
        <v>5124.208</v>
      </c>
      <c r="AC17" s="555">
        <v>5107.62</v>
      </c>
      <c r="AD17" s="555">
        <v>5160.056</v>
      </c>
      <c r="AE17" s="209">
        <f t="shared" si="4"/>
        <v>1.0266229672528482</v>
      </c>
      <c r="AF17" s="184" t="s">
        <v>59</v>
      </c>
    </row>
    <row r="18" spans="1:32" ht="12.75" customHeight="1">
      <c r="A18" s="8"/>
      <c r="B18" s="10" t="s">
        <v>64</v>
      </c>
      <c r="C18" s="188">
        <v>2378</v>
      </c>
      <c r="D18" s="188">
        <v>7556.511</v>
      </c>
      <c r="E18" s="554">
        <v>11995.64</v>
      </c>
      <c r="F18" s="554">
        <v>12537.099</v>
      </c>
      <c r="G18" s="554">
        <v>13102.285</v>
      </c>
      <c r="H18" s="554">
        <v>13440.694</v>
      </c>
      <c r="I18" s="554">
        <v>13733.794</v>
      </c>
      <c r="J18" s="554">
        <v>14212.259</v>
      </c>
      <c r="K18" s="554">
        <v>14753.809</v>
      </c>
      <c r="L18" s="554">
        <v>15297.366</v>
      </c>
      <c r="M18" s="554">
        <v>16050.057</v>
      </c>
      <c r="N18" s="554">
        <v>16847.397</v>
      </c>
      <c r="O18" s="554">
        <v>17449.235</v>
      </c>
      <c r="P18" s="554">
        <v>18150.88</v>
      </c>
      <c r="Q18" s="557">
        <v>18732.632</v>
      </c>
      <c r="R18" s="554">
        <v>18688.32</v>
      </c>
      <c r="S18" s="554">
        <v>19541.918</v>
      </c>
      <c r="T18" s="554">
        <v>20250.377</v>
      </c>
      <c r="U18" s="554">
        <v>20908.725</v>
      </c>
      <c r="V18" s="554">
        <v>21760.174</v>
      </c>
      <c r="W18" s="554">
        <v>22145.364</v>
      </c>
      <c r="X18" s="554">
        <v>21983.485</v>
      </c>
      <c r="Y18" s="554">
        <v>22147.455</v>
      </c>
      <c r="Z18" s="554">
        <v>22277</v>
      </c>
      <c r="AA18" s="554">
        <v>22247.528</v>
      </c>
      <c r="AB18" s="554">
        <v>22024.538</v>
      </c>
      <c r="AC18" s="554">
        <v>22029.512</v>
      </c>
      <c r="AD18" s="554">
        <v>22355.549</v>
      </c>
      <c r="AE18" s="156">
        <f t="shared" si="4"/>
        <v>1.4800010095548117</v>
      </c>
      <c r="AF18" s="10" t="s">
        <v>64</v>
      </c>
    </row>
    <row r="19" spans="1:32" ht="12.75" customHeight="1">
      <c r="A19" s="8"/>
      <c r="B19" s="184" t="s">
        <v>65</v>
      </c>
      <c r="C19" s="189">
        <v>11900</v>
      </c>
      <c r="D19" s="189">
        <v>19130</v>
      </c>
      <c r="E19" s="555">
        <v>23550</v>
      </c>
      <c r="F19" s="555">
        <v>23810</v>
      </c>
      <c r="G19" s="555">
        <v>24020</v>
      </c>
      <c r="H19" s="555">
        <v>24385</v>
      </c>
      <c r="I19" s="555">
        <v>24900</v>
      </c>
      <c r="J19" s="555">
        <v>25100</v>
      </c>
      <c r="K19" s="555">
        <v>25500</v>
      </c>
      <c r="L19" s="555">
        <v>26090</v>
      </c>
      <c r="M19" s="555">
        <v>26810</v>
      </c>
      <c r="N19" s="555">
        <v>27480</v>
      </c>
      <c r="O19" s="555">
        <v>28060</v>
      </c>
      <c r="P19" s="555">
        <v>28700</v>
      </c>
      <c r="Q19" s="555">
        <v>29160</v>
      </c>
      <c r="R19" s="555">
        <v>29560</v>
      </c>
      <c r="S19" s="555">
        <v>29900</v>
      </c>
      <c r="T19" s="555">
        <v>30100</v>
      </c>
      <c r="U19" s="555">
        <v>30400</v>
      </c>
      <c r="V19" s="555">
        <v>30700</v>
      </c>
      <c r="W19" s="555">
        <v>30850</v>
      </c>
      <c r="X19" s="555">
        <v>31050</v>
      </c>
      <c r="Y19" s="555">
        <v>31300</v>
      </c>
      <c r="Z19" s="555">
        <v>31550</v>
      </c>
      <c r="AA19" s="555">
        <v>31600</v>
      </c>
      <c r="AB19" s="555">
        <v>31650</v>
      </c>
      <c r="AC19" s="555">
        <v>31800</v>
      </c>
      <c r="AD19" s="555">
        <v>32000</v>
      </c>
      <c r="AE19" s="209">
        <f t="shared" si="4"/>
        <v>0.628930817610069</v>
      </c>
      <c r="AF19" s="184" t="s">
        <v>65</v>
      </c>
    </row>
    <row r="20" spans="1:32" ht="12.75" customHeight="1">
      <c r="A20" s="8"/>
      <c r="B20" s="10" t="s">
        <v>76</v>
      </c>
      <c r="C20" s="188" t="s">
        <v>74</v>
      </c>
      <c r="D20" s="188" t="s">
        <v>74</v>
      </c>
      <c r="E20" s="558">
        <v>580</v>
      </c>
      <c r="F20" s="558">
        <v>600</v>
      </c>
      <c r="G20" s="558">
        <v>620</v>
      </c>
      <c r="H20" s="554">
        <v>646.21</v>
      </c>
      <c r="I20" s="554">
        <v>698.391</v>
      </c>
      <c r="J20" s="554">
        <v>710.91</v>
      </c>
      <c r="K20" s="554">
        <v>835.714</v>
      </c>
      <c r="L20" s="554">
        <v>932.278</v>
      </c>
      <c r="M20" s="554">
        <v>1000.052</v>
      </c>
      <c r="N20" s="554">
        <v>1063.546</v>
      </c>
      <c r="O20" s="554">
        <v>1124.825</v>
      </c>
      <c r="P20" s="554">
        <v>1195.45</v>
      </c>
      <c r="Q20" s="554">
        <v>1244.252</v>
      </c>
      <c r="R20" s="554">
        <v>1293.421</v>
      </c>
      <c r="S20" s="554">
        <v>1337.538</v>
      </c>
      <c r="T20" s="554">
        <v>1384.699</v>
      </c>
      <c r="U20" s="554">
        <v>1435.781</v>
      </c>
      <c r="V20" s="554">
        <v>1491.127</v>
      </c>
      <c r="W20" s="557">
        <v>1535.28</v>
      </c>
      <c r="X20" s="554">
        <v>1532.549</v>
      </c>
      <c r="Y20" s="554">
        <v>1515.449</v>
      </c>
      <c r="Z20" s="554">
        <v>1518.278</v>
      </c>
      <c r="AA20" s="554">
        <v>1445.22</v>
      </c>
      <c r="AB20" s="554">
        <v>1448.299</v>
      </c>
      <c r="AC20" s="554">
        <v>1474.495</v>
      </c>
      <c r="AD20" s="554">
        <v>1499.802</v>
      </c>
      <c r="AE20" s="156">
        <f t="shared" si="4"/>
        <v>1.71631643376206</v>
      </c>
      <c r="AF20" s="10" t="s">
        <v>76</v>
      </c>
    </row>
    <row r="21" spans="1:32" ht="12.75" customHeight="1">
      <c r="A21" s="8"/>
      <c r="B21" s="184" t="s">
        <v>67</v>
      </c>
      <c r="C21" s="189">
        <v>10181.192</v>
      </c>
      <c r="D21" s="189">
        <v>17686.236</v>
      </c>
      <c r="E21" s="555">
        <v>27415.828</v>
      </c>
      <c r="F21" s="555">
        <v>28434.923</v>
      </c>
      <c r="G21" s="555">
        <v>29429.628</v>
      </c>
      <c r="H21" s="555">
        <v>29652.024</v>
      </c>
      <c r="I21" s="555">
        <v>29665.308</v>
      </c>
      <c r="J21" s="555">
        <v>30301.424</v>
      </c>
      <c r="K21" s="555">
        <v>30467.173</v>
      </c>
      <c r="L21" s="555">
        <v>30741.953</v>
      </c>
      <c r="M21" s="555">
        <v>31370.765</v>
      </c>
      <c r="N21" s="555">
        <v>32038.291</v>
      </c>
      <c r="O21" s="555">
        <v>32583.815</v>
      </c>
      <c r="P21" s="555">
        <v>33239.029</v>
      </c>
      <c r="Q21" s="555">
        <v>33706.153</v>
      </c>
      <c r="R21" s="555">
        <v>34310.446</v>
      </c>
      <c r="S21" s="555">
        <v>33973.147</v>
      </c>
      <c r="T21" s="555">
        <v>34667.485</v>
      </c>
      <c r="U21" s="555">
        <v>35297.282</v>
      </c>
      <c r="V21" s="555">
        <v>35680.097</v>
      </c>
      <c r="W21" s="555">
        <v>36105.183</v>
      </c>
      <c r="X21" s="555">
        <v>36372</v>
      </c>
      <c r="Y21" s="555">
        <v>36751.311</v>
      </c>
      <c r="Z21" s="555">
        <v>37113.3</v>
      </c>
      <c r="AA21" s="555">
        <v>37078</v>
      </c>
      <c r="AB21" s="555">
        <v>36962.934</v>
      </c>
      <c r="AC21" s="555">
        <v>37080.753</v>
      </c>
      <c r="AD21" s="555">
        <v>37351.233</v>
      </c>
      <c r="AE21" s="209">
        <f t="shared" si="4"/>
        <v>0.7294350252272466</v>
      </c>
      <c r="AF21" s="184" t="s">
        <v>67</v>
      </c>
    </row>
    <row r="22" spans="1:32" ht="12.75" customHeight="1">
      <c r="A22" s="8"/>
      <c r="B22" s="10" t="s">
        <v>46</v>
      </c>
      <c r="C22" s="188">
        <v>60</v>
      </c>
      <c r="D22" s="188">
        <v>90</v>
      </c>
      <c r="E22" s="554">
        <v>178.602</v>
      </c>
      <c r="F22" s="554">
        <v>190</v>
      </c>
      <c r="G22" s="554">
        <v>200</v>
      </c>
      <c r="H22" s="554">
        <v>203.61</v>
      </c>
      <c r="I22" s="554">
        <v>210.365</v>
      </c>
      <c r="J22" s="554">
        <v>219.749</v>
      </c>
      <c r="K22" s="554">
        <v>226.832</v>
      </c>
      <c r="L22" s="554">
        <v>234.976</v>
      </c>
      <c r="M22" s="554">
        <v>249.225</v>
      </c>
      <c r="N22" s="554">
        <v>256.989</v>
      </c>
      <c r="O22" s="554">
        <v>267.589</v>
      </c>
      <c r="P22" s="557">
        <v>280.069</v>
      </c>
      <c r="Q22" s="554">
        <v>287.622</v>
      </c>
      <c r="R22" s="554">
        <v>302.501</v>
      </c>
      <c r="S22" s="554">
        <v>335.634</v>
      </c>
      <c r="T22" s="554">
        <v>355.134</v>
      </c>
      <c r="U22" s="554">
        <v>372.945</v>
      </c>
      <c r="V22" s="554">
        <v>410.936</v>
      </c>
      <c r="W22" s="554">
        <v>443.517</v>
      </c>
      <c r="X22" s="554">
        <v>460.504</v>
      </c>
      <c r="Y22" s="554">
        <v>462.652</v>
      </c>
      <c r="Z22" s="554">
        <v>470</v>
      </c>
      <c r="AA22" s="554">
        <v>475.462</v>
      </c>
      <c r="AB22" s="554">
        <v>474.561</v>
      </c>
      <c r="AC22" s="554">
        <v>478.492</v>
      </c>
      <c r="AD22" s="554">
        <v>487.692</v>
      </c>
      <c r="AE22" s="156">
        <f t="shared" si="4"/>
        <v>1.922707171697752</v>
      </c>
      <c r="AF22" s="10" t="s">
        <v>46</v>
      </c>
    </row>
    <row r="23" spans="1:32" ht="12.75" customHeight="1">
      <c r="A23" s="8"/>
      <c r="B23" s="184" t="s">
        <v>50</v>
      </c>
      <c r="C23" s="189">
        <v>40</v>
      </c>
      <c r="D23" s="189">
        <v>166</v>
      </c>
      <c r="E23" s="555">
        <v>283</v>
      </c>
      <c r="F23" s="555">
        <v>329</v>
      </c>
      <c r="G23" s="555">
        <v>350</v>
      </c>
      <c r="H23" s="556">
        <v>367.475</v>
      </c>
      <c r="I23" s="555">
        <v>251.593</v>
      </c>
      <c r="J23" s="555">
        <v>332</v>
      </c>
      <c r="K23" s="555">
        <v>379.895</v>
      </c>
      <c r="L23" s="555">
        <v>431.816</v>
      </c>
      <c r="M23" s="555">
        <v>482.67</v>
      </c>
      <c r="N23" s="555">
        <v>525.572</v>
      </c>
      <c r="O23" s="555">
        <v>556.8</v>
      </c>
      <c r="P23" s="555">
        <v>586.2</v>
      </c>
      <c r="Q23" s="555">
        <v>619.1</v>
      </c>
      <c r="R23" s="555">
        <v>648.9</v>
      </c>
      <c r="S23" s="555">
        <v>686.128</v>
      </c>
      <c r="T23" s="555">
        <v>742.447</v>
      </c>
      <c r="U23" s="555">
        <v>822.011</v>
      </c>
      <c r="V23" s="555">
        <v>904.869</v>
      </c>
      <c r="W23" s="555">
        <v>932.828</v>
      </c>
      <c r="X23" s="555">
        <v>904.308</v>
      </c>
      <c r="Y23" s="559">
        <v>636.664</v>
      </c>
      <c r="Z23" s="555">
        <v>612.32</v>
      </c>
      <c r="AA23" s="555">
        <v>618.274</v>
      </c>
      <c r="AB23" s="555">
        <v>634.603</v>
      </c>
      <c r="AC23" s="555">
        <v>657.799</v>
      </c>
      <c r="AD23" s="555">
        <v>679.048</v>
      </c>
      <c r="AE23" s="209">
        <f t="shared" si="4"/>
        <v>3.2303180758864016</v>
      </c>
      <c r="AF23" s="184" t="s">
        <v>50</v>
      </c>
    </row>
    <row r="24" spans="1:32" s="24" customFormat="1" ht="12.75" customHeight="1">
      <c r="A24" s="436"/>
      <c r="B24" s="10" t="s">
        <v>51</v>
      </c>
      <c r="C24" s="188">
        <v>43.7</v>
      </c>
      <c r="D24" s="188">
        <v>247</v>
      </c>
      <c r="E24" s="554">
        <v>493</v>
      </c>
      <c r="F24" s="554">
        <v>531</v>
      </c>
      <c r="G24" s="554">
        <v>565</v>
      </c>
      <c r="H24" s="554">
        <v>597.735</v>
      </c>
      <c r="I24" s="554">
        <v>652.81</v>
      </c>
      <c r="J24" s="554">
        <v>718.469</v>
      </c>
      <c r="K24" s="554">
        <v>785.088</v>
      </c>
      <c r="L24" s="554">
        <v>882.101</v>
      </c>
      <c r="M24" s="554">
        <v>980.91</v>
      </c>
      <c r="N24" s="554">
        <v>1089.334</v>
      </c>
      <c r="O24" s="554">
        <v>1172.394</v>
      </c>
      <c r="P24" s="554">
        <v>1133.477</v>
      </c>
      <c r="Q24" s="554">
        <v>1180.945</v>
      </c>
      <c r="R24" s="554">
        <v>1256.853</v>
      </c>
      <c r="S24" s="554">
        <v>1315.914</v>
      </c>
      <c r="T24" s="554">
        <v>1455.276</v>
      </c>
      <c r="U24" s="554">
        <v>1592.238</v>
      </c>
      <c r="V24" s="554">
        <v>1587.903</v>
      </c>
      <c r="W24" s="554">
        <v>1671.065</v>
      </c>
      <c r="X24" s="554">
        <v>1695.286</v>
      </c>
      <c r="Y24" s="554">
        <v>1691.855</v>
      </c>
      <c r="Z24" s="554">
        <v>1713.3</v>
      </c>
      <c r="AA24" s="554">
        <v>1753.407</v>
      </c>
      <c r="AB24" s="554">
        <f>1808.982</f>
        <v>1808.982</v>
      </c>
      <c r="AC24" s="909">
        <v>1205.668</v>
      </c>
      <c r="AD24" s="562">
        <v>1244.063</v>
      </c>
      <c r="AE24" s="156">
        <f t="shared" si="4"/>
        <v>3.1845416814579437</v>
      </c>
      <c r="AF24" s="10" t="s">
        <v>51</v>
      </c>
    </row>
    <row r="25" spans="1:32" ht="12.75" customHeight="1">
      <c r="A25" s="8"/>
      <c r="B25" s="184" t="s">
        <v>68</v>
      </c>
      <c r="C25" s="189">
        <v>72</v>
      </c>
      <c r="D25" s="189">
        <v>128.6</v>
      </c>
      <c r="E25" s="555">
        <v>183.404</v>
      </c>
      <c r="F25" s="555">
        <v>192</v>
      </c>
      <c r="G25" s="555">
        <v>201</v>
      </c>
      <c r="H25" s="555">
        <v>208</v>
      </c>
      <c r="I25" s="555">
        <v>217.754</v>
      </c>
      <c r="J25" s="555">
        <v>229.037</v>
      </c>
      <c r="K25" s="555">
        <v>231.666</v>
      </c>
      <c r="L25" s="555">
        <v>236.834</v>
      </c>
      <c r="M25" s="555">
        <v>253.406</v>
      </c>
      <c r="N25" s="555">
        <v>263.475</v>
      </c>
      <c r="O25" s="555">
        <v>273.086</v>
      </c>
      <c r="P25" s="555">
        <v>280.709</v>
      </c>
      <c r="Q25" s="555">
        <v>287.245</v>
      </c>
      <c r="R25" s="555">
        <v>293.398</v>
      </c>
      <c r="S25" s="555">
        <v>299.759</v>
      </c>
      <c r="T25" s="555">
        <f>211.567+92.927+2.771</f>
        <v>307.26500000000004</v>
      </c>
      <c r="U25" s="555">
        <f>208.15+104.392+2.162</f>
        <v>314.704</v>
      </c>
      <c r="V25" s="555">
        <f>204.895+114.963+1.662</f>
        <v>321.52</v>
      </c>
      <c r="W25" s="555">
        <f>200.038+127.697+1.303</f>
        <v>329.038</v>
      </c>
      <c r="X25" s="555">
        <f>191.197+139.28+1.026</f>
        <v>331.503</v>
      </c>
      <c r="Y25" s="555">
        <f>184.633+151.812+0.794</f>
        <v>337.23900000000003</v>
      </c>
      <c r="Z25" s="555">
        <f>207.642+137.309+0.624</f>
        <v>345.57500000000005</v>
      </c>
      <c r="AA25" s="555">
        <f>207.902+147.456+0.492</f>
        <v>355.84999999999997</v>
      </c>
      <c r="AB25" s="555">
        <f>205.132+157.747+0.368</f>
        <v>363.247</v>
      </c>
      <c r="AC25" s="555">
        <f>0.289+168.612+203.926</f>
        <v>372.827</v>
      </c>
      <c r="AD25" s="555">
        <f>202.766+178.094+0.243</f>
        <v>381.103</v>
      </c>
      <c r="AE25" s="209">
        <f t="shared" si="4"/>
        <v>2.2197963130352605</v>
      </c>
      <c r="AF25" s="184" t="s">
        <v>68</v>
      </c>
    </row>
    <row r="26" spans="1:32" s="24" customFormat="1" ht="12.75" customHeight="1">
      <c r="A26" s="436"/>
      <c r="B26" s="10" t="s">
        <v>49</v>
      </c>
      <c r="C26" s="188">
        <v>240</v>
      </c>
      <c r="D26" s="188">
        <v>1010</v>
      </c>
      <c r="E26" s="554">
        <v>1944</v>
      </c>
      <c r="F26" s="554">
        <v>2020</v>
      </c>
      <c r="G26" s="554">
        <v>2058</v>
      </c>
      <c r="H26" s="554">
        <v>2093.529</v>
      </c>
      <c r="I26" s="554">
        <v>2178.891</v>
      </c>
      <c r="J26" s="554">
        <v>2244.946</v>
      </c>
      <c r="K26" s="554">
        <v>2265.18</v>
      </c>
      <c r="L26" s="554">
        <v>2297.964</v>
      </c>
      <c r="M26" s="554">
        <v>2218.124</v>
      </c>
      <c r="N26" s="554">
        <v>2255.526</v>
      </c>
      <c r="O26" s="554">
        <v>2364.706</v>
      </c>
      <c r="P26" s="554">
        <v>2482.827</v>
      </c>
      <c r="Q26" s="554">
        <v>2629.526</v>
      </c>
      <c r="R26" s="554">
        <v>2777.219</v>
      </c>
      <c r="S26" s="554">
        <v>2828.433</v>
      </c>
      <c r="T26" s="554">
        <v>2888.735</v>
      </c>
      <c r="U26" s="554">
        <v>2953.737</v>
      </c>
      <c r="V26" s="554">
        <v>3012.165</v>
      </c>
      <c r="W26" s="554">
        <v>3055.427</v>
      </c>
      <c r="X26" s="554">
        <v>3013.719</v>
      </c>
      <c r="Y26" s="554">
        <v>2984.063</v>
      </c>
      <c r="Z26" s="554">
        <v>2967.808</v>
      </c>
      <c r="AA26" s="554">
        <v>2986.028</v>
      </c>
      <c r="AB26" s="554">
        <f>3040.732</f>
        <v>3040.732</v>
      </c>
      <c r="AC26" s="554">
        <v>3107.695</v>
      </c>
      <c r="AD26" s="554">
        <v>3196.856</v>
      </c>
      <c r="AE26" s="156">
        <f t="shared" si="4"/>
        <v>2.8690395936538096</v>
      </c>
      <c r="AF26" s="10" t="s">
        <v>49</v>
      </c>
    </row>
    <row r="27" spans="1:32" ht="12.75" customHeight="1">
      <c r="A27" s="8"/>
      <c r="B27" s="184" t="s">
        <v>52</v>
      </c>
      <c r="C27" s="189" t="s">
        <v>74</v>
      </c>
      <c r="D27" s="189" t="s">
        <v>74</v>
      </c>
      <c r="E27" s="560">
        <v>120</v>
      </c>
      <c r="F27" s="555">
        <v>122</v>
      </c>
      <c r="G27" s="555">
        <v>125</v>
      </c>
      <c r="H27" s="555">
        <v>152.613</v>
      </c>
      <c r="I27" s="555">
        <v>170.635</v>
      </c>
      <c r="J27" s="555">
        <v>180.851</v>
      </c>
      <c r="K27" s="555">
        <v>182</v>
      </c>
      <c r="L27" s="556">
        <f>177.651+6.123</f>
        <v>183.774</v>
      </c>
      <c r="M27" s="555">
        <f>0.863+169.542+4.136+0.245</f>
        <v>174.786</v>
      </c>
      <c r="N27" s="555">
        <f>0.966+176.264+4.777+0.245</f>
        <v>182.252</v>
      </c>
      <c r="O27" s="555">
        <f>1.034+182.105+5.738+0.246</f>
        <v>189.123</v>
      </c>
      <c r="P27" s="555">
        <f>1.116+188.495+5.521+0.247</f>
        <v>195.37900000000002</v>
      </c>
      <c r="Q27" s="555">
        <f>1.165+195.055+5.454+0.247</f>
        <v>201.92100000000002</v>
      </c>
      <c r="R27" s="555">
        <f>1.194+201.924+5.447+0.247</f>
        <v>208.812</v>
      </c>
      <c r="S27" s="555">
        <f>1.19+204.702+5.245+0.246</f>
        <v>211.383</v>
      </c>
      <c r="T27" s="555">
        <f>1.133+206.148+5.034+0.246</f>
        <v>212.561</v>
      </c>
      <c r="U27" s="555">
        <f>1.123+211.84+4.943+0.247</f>
        <v>218.15300000000002</v>
      </c>
      <c r="V27" s="555">
        <v>224.896</v>
      </c>
      <c r="W27" s="555">
        <v>229.38899999999998</v>
      </c>
      <c r="X27" s="555">
        <v>233.48600000000002</v>
      </c>
      <c r="Y27" s="559">
        <v>240.95999999999998</v>
      </c>
      <c r="Z27" s="555">
        <v>247.37499999999997</v>
      </c>
      <c r="AA27" s="559">
        <f>235.315+7.244+0.291+3.277+3.029+0.879</f>
        <v>250.03499999999997</v>
      </c>
      <c r="AB27" s="555">
        <f>241.5+7.228+0.292+4.119+2.551+0.908</f>
        <v>256.598</v>
      </c>
      <c r="AC27" s="555">
        <f>250.533+7.457+0.293+4.968+2.293+0.974</f>
        <v>266.51800000000003</v>
      </c>
      <c r="AD27" s="555">
        <f>258.521+7.743+0.291+5.794+1.974+1.057</f>
        <v>275.38</v>
      </c>
      <c r="AE27" s="209">
        <f t="shared" si="4"/>
        <v>3.325103745338012</v>
      </c>
      <c r="AF27" s="184" t="s">
        <v>52</v>
      </c>
    </row>
    <row r="28" spans="1:32" s="24" customFormat="1" ht="12.75" customHeight="1">
      <c r="A28" s="436"/>
      <c r="B28" s="10" t="s">
        <v>60</v>
      </c>
      <c r="C28" s="188">
        <v>2564</v>
      </c>
      <c r="D28" s="188">
        <v>4550</v>
      </c>
      <c r="E28" s="554">
        <v>5509.173</v>
      </c>
      <c r="F28" s="554">
        <v>5554</v>
      </c>
      <c r="G28" s="554">
        <v>5658</v>
      </c>
      <c r="H28" s="554">
        <v>5755</v>
      </c>
      <c r="I28" s="554">
        <v>5884</v>
      </c>
      <c r="J28" s="554">
        <v>5633</v>
      </c>
      <c r="K28" s="554">
        <v>5740</v>
      </c>
      <c r="L28" s="554">
        <v>5931.387</v>
      </c>
      <c r="M28" s="554">
        <v>6119.581</v>
      </c>
      <c r="N28" s="554">
        <v>6343.195</v>
      </c>
      <c r="O28" s="554">
        <v>6539.212</v>
      </c>
      <c r="P28" s="554">
        <v>6710.602</v>
      </c>
      <c r="Q28" s="554">
        <v>6854.743</v>
      </c>
      <c r="R28" s="554">
        <v>6908.473</v>
      </c>
      <c r="S28" s="554">
        <v>6991.991</v>
      </c>
      <c r="T28" s="554">
        <v>7092.293</v>
      </c>
      <c r="U28" s="554">
        <v>7230.178</v>
      </c>
      <c r="V28" s="554">
        <v>7391.903</v>
      </c>
      <c r="W28" s="554">
        <v>7542.331</v>
      </c>
      <c r="X28" s="554">
        <v>7622</v>
      </c>
      <c r="Y28" s="554">
        <v>7736</v>
      </c>
      <c r="Z28" s="554">
        <v>7859</v>
      </c>
      <c r="AA28" s="554">
        <v>7915.613</v>
      </c>
      <c r="AB28" s="554">
        <f>7932.29</f>
        <v>7932.29</v>
      </c>
      <c r="AC28" s="554">
        <v>7979.083</v>
      </c>
      <c r="AD28" s="554">
        <v>8100.864</v>
      </c>
      <c r="AE28" s="156">
        <f t="shared" si="4"/>
        <v>1.526253079457888</v>
      </c>
      <c r="AF28" s="10" t="s">
        <v>60</v>
      </c>
    </row>
    <row r="29" spans="1:32" ht="12.75" customHeight="1">
      <c r="A29" s="8"/>
      <c r="B29" s="184" t="s">
        <v>69</v>
      </c>
      <c r="C29" s="189">
        <v>1197</v>
      </c>
      <c r="D29" s="189">
        <v>2247</v>
      </c>
      <c r="E29" s="555">
        <v>2991</v>
      </c>
      <c r="F29" s="555">
        <v>3100</v>
      </c>
      <c r="G29" s="555">
        <v>3245</v>
      </c>
      <c r="H29" s="555">
        <v>3367.626</v>
      </c>
      <c r="I29" s="555">
        <v>3479.595</v>
      </c>
      <c r="J29" s="555">
        <v>3593.588</v>
      </c>
      <c r="K29" s="555">
        <v>3690.692</v>
      </c>
      <c r="L29" s="555">
        <v>3782.543</v>
      </c>
      <c r="M29" s="555">
        <v>3887.174</v>
      </c>
      <c r="N29" s="555">
        <v>4009.604</v>
      </c>
      <c r="O29" s="555">
        <v>4097.145</v>
      </c>
      <c r="P29" s="556">
        <v>4182.027</v>
      </c>
      <c r="Q29" s="555">
        <v>3987.093</v>
      </c>
      <c r="R29" s="555">
        <v>4054.308</v>
      </c>
      <c r="S29" s="555">
        <v>4109.129</v>
      </c>
      <c r="T29" s="555">
        <v>4156.743</v>
      </c>
      <c r="U29" s="555">
        <v>4204.969</v>
      </c>
      <c r="V29" s="555">
        <v>4245.583</v>
      </c>
      <c r="W29" s="555">
        <v>4284.919</v>
      </c>
      <c r="X29" s="555">
        <v>4359.944</v>
      </c>
      <c r="Y29" s="555">
        <v>4441.027</v>
      </c>
      <c r="Z29" s="555">
        <v>4513.421</v>
      </c>
      <c r="AA29" s="555">
        <v>4584.202</v>
      </c>
      <c r="AB29" s="555">
        <v>4641.308</v>
      </c>
      <c r="AC29" s="555">
        <v>4694.921</v>
      </c>
      <c r="AD29" s="555">
        <v>4748.048</v>
      </c>
      <c r="AE29" s="209">
        <f t="shared" si="4"/>
        <v>1.1315845357142251</v>
      </c>
      <c r="AF29" s="184" t="s">
        <v>69</v>
      </c>
    </row>
    <row r="30" spans="1:32" s="24" customFormat="1" ht="12.75" customHeight="1">
      <c r="A30" s="436"/>
      <c r="B30" s="10" t="s">
        <v>53</v>
      </c>
      <c r="C30" s="188">
        <v>479</v>
      </c>
      <c r="D30" s="188">
        <v>2380</v>
      </c>
      <c r="E30" s="554">
        <v>5261</v>
      </c>
      <c r="F30" s="554">
        <v>6110</v>
      </c>
      <c r="G30" s="554">
        <v>6505</v>
      </c>
      <c r="H30" s="554">
        <v>6770.557</v>
      </c>
      <c r="I30" s="554">
        <v>7153.141</v>
      </c>
      <c r="J30" s="554">
        <v>7517.266</v>
      </c>
      <c r="K30" s="554">
        <v>8054.448</v>
      </c>
      <c r="L30" s="554">
        <v>8533.449</v>
      </c>
      <c r="M30" s="554">
        <v>8890.763</v>
      </c>
      <c r="N30" s="554">
        <v>9282.9</v>
      </c>
      <c r="O30" s="554">
        <v>9991.3</v>
      </c>
      <c r="P30" s="554">
        <v>10503.1</v>
      </c>
      <c r="Q30" s="554">
        <v>11028.9</v>
      </c>
      <c r="R30" s="554">
        <v>11243.8</v>
      </c>
      <c r="S30" s="554">
        <v>11975.191</v>
      </c>
      <c r="T30" s="554">
        <v>12339.353</v>
      </c>
      <c r="U30" s="554">
        <v>13384.229</v>
      </c>
      <c r="V30" s="554">
        <v>14588.739</v>
      </c>
      <c r="W30" s="554">
        <v>16079.533</v>
      </c>
      <c r="X30" s="554">
        <v>16495</v>
      </c>
      <c r="Y30" s="554">
        <v>17239.8</v>
      </c>
      <c r="Z30" s="554">
        <v>18125</v>
      </c>
      <c r="AA30" s="554">
        <v>18744</v>
      </c>
      <c r="AB30" s="554">
        <v>19389.446</v>
      </c>
      <c r="AC30" s="554">
        <v>20003.863</v>
      </c>
      <c r="AD30" s="554">
        <v>20723</v>
      </c>
      <c r="AE30" s="156">
        <f t="shared" si="4"/>
        <v>3.5949906275602785</v>
      </c>
      <c r="AF30" s="10" t="s">
        <v>53</v>
      </c>
    </row>
    <row r="31" spans="1:32" ht="12.75" customHeight="1">
      <c r="A31" s="8"/>
      <c r="B31" s="184" t="s">
        <v>70</v>
      </c>
      <c r="C31" s="189">
        <v>421</v>
      </c>
      <c r="D31" s="189">
        <v>1269</v>
      </c>
      <c r="E31" s="555">
        <v>1849</v>
      </c>
      <c r="F31" s="560">
        <v>1950</v>
      </c>
      <c r="G31" s="560">
        <v>2100</v>
      </c>
      <c r="H31" s="560">
        <v>2250</v>
      </c>
      <c r="I31" s="560">
        <v>2410</v>
      </c>
      <c r="J31" s="555">
        <v>2560</v>
      </c>
      <c r="K31" s="555">
        <v>2750</v>
      </c>
      <c r="L31" s="555">
        <v>2950</v>
      </c>
      <c r="M31" s="555">
        <v>3150</v>
      </c>
      <c r="N31" s="555">
        <v>3350</v>
      </c>
      <c r="O31" s="555">
        <v>3443</v>
      </c>
      <c r="P31" s="555">
        <v>3589</v>
      </c>
      <c r="Q31" s="555">
        <v>3885</v>
      </c>
      <c r="R31" s="555">
        <v>3966</v>
      </c>
      <c r="S31" s="555">
        <v>4100</v>
      </c>
      <c r="T31" s="555">
        <v>4200</v>
      </c>
      <c r="U31" s="555">
        <v>4290</v>
      </c>
      <c r="V31" s="555">
        <v>4379</v>
      </c>
      <c r="W31" s="555">
        <v>4408</v>
      </c>
      <c r="X31" s="555">
        <v>4457</v>
      </c>
      <c r="Y31" s="555">
        <v>4480</v>
      </c>
      <c r="Z31" s="555">
        <v>4522</v>
      </c>
      <c r="AA31" s="555">
        <v>4497</v>
      </c>
      <c r="AB31" s="555">
        <v>4480</v>
      </c>
      <c r="AC31" s="555">
        <v>4496</v>
      </c>
      <c r="AD31" s="561">
        <v>4538</v>
      </c>
      <c r="AE31" s="209">
        <f t="shared" si="4"/>
        <v>0.9341637010676322</v>
      </c>
      <c r="AF31" s="184" t="s">
        <v>70</v>
      </c>
    </row>
    <row r="32" spans="1:32" s="24" customFormat="1" ht="12.75" customHeight="1">
      <c r="A32" s="436"/>
      <c r="B32" s="10" t="s">
        <v>54</v>
      </c>
      <c r="C32" s="188">
        <v>40</v>
      </c>
      <c r="D32" s="188">
        <v>240</v>
      </c>
      <c r="E32" s="554">
        <v>1292.283</v>
      </c>
      <c r="F32" s="554">
        <v>1431.566</v>
      </c>
      <c r="G32" s="554">
        <v>1593.029</v>
      </c>
      <c r="H32" s="554">
        <v>1793.054</v>
      </c>
      <c r="I32" s="554">
        <v>2020.017</v>
      </c>
      <c r="J32" s="554">
        <v>2197.477</v>
      </c>
      <c r="K32" s="554">
        <v>2326.177</v>
      </c>
      <c r="L32" s="554">
        <v>2447.087</v>
      </c>
      <c r="M32" s="554">
        <v>2594.571</v>
      </c>
      <c r="N32" s="554">
        <v>2702.021</v>
      </c>
      <c r="O32" s="554">
        <v>2777.594</v>
      </c>
      <c r="P32" s="554">
        <v>2881.191</v>
      </c>
      <c r="Q32" s="554">
        <v>2973.39</v>
      </c>
      <c r="R32" s="554">
        <v>3087.628</v>
      </c>
      <c r="S32" s="554">
        <v>3225.367</v>
      </c>
      <c r="T32" s="554">
        <v>3363.779</v>
      </c>
      <c r="U32" s="557">
        <v>3603.437</v>
      </c>
      <c r="V32" s="554">
        <v>3541.262</v>
      </c>
      <c r="W32" s="554">
        <v>4027.363</v>
      </c>
      <c r="X32" s="554">
        <v>4244.9</v>
      </c>
      <c r="Y32" s="554">
        <v>4319.701</v>
      </c>
      <c r="Z32" s="554">
        <v>4334.547</v>
      </c>
      <c r="AA32" s="554">
        <v>4487.251</v>
      </c>
      <c r="AB32" s="554">
        <v>4695.66</v>
      </c>
      <c r="AC32" s="554">
        <v>4907.564</v>
      </c>
      <c r="AD32" s="562">
        <v>5155.059</v>
      </c>
      <c r="AE32" s="156">
        <f t="shared" si="4"/>
        <v>5.04313341608993</v>
      </c>
      <c r="AF32" s="10" t="s">
        <v>54</v>
      </c>
    </row>
    <row r="33" spans="1:32" s="61" customFormat="1" ht="12.75" customHeight="1">
      <c r="A33" s="8"/>
      <c r="B33" s="184" t="s">
        <v>56</v>
      </c>
      <c r="C33" s="189">
        <v>150.807</v>
      </c>
      <c r="D33" s="189">
        <v>416.448</v>
      </c>
      <c r="E33" s="555">
        <v>587.104</v>
      </c>
      <c r="F33" s="555">
        <v>602.884</v>
      </c>
      <c r="G33" s="555">
        <v>606.245</v>
      </c>
      <c r="H33" s="555">
        <v>650.344</v>
      </c>
      <c r="I33" s="555">
        <v>668.307</v>
      </c>
      <c r="J33" s="555">
        <v>711.364</v>
      </c>
      <c r="K33" s="555">
        <v>743.057</v>
      </c>
      <c r="L33" s="555">
        <v>776.798</v>
      </c>
      <c r="M33" s="555">
        <v>811.671</v>
      </c>
      <c r="N33" s="555">
        <v>846.109</v>
      </c>
      <c r="O33" s="555">
        <v>866.096</v>
      </c>
      <c r="P33" s="555">
        <v>881.487</v>
      </c>
      <c r="Q33" s="555">
        <v>894.521</v>
      </c>
      <c r="R33" s="555">
        <v>910.429</v>
      </c>
      <c r="S33" s="555">
        <v>933.941</v>
      </c>
      <c r="T33" s="555">
        <v>960.213</v>
      </c>
      <c r="U33" s="555">
        <v>980.261</v>
      </c>
      <c r="V33" s="555">
        <v>1014.122</v>
      </c>
      <c r="W33" s="555">
        <v>1045.183</v>
      </c>
      <c r="X33" s="555">
        <v>1058.858</v>
      </c>
      <c r="Y33" s="555">
        <v>1061.646</v>
      </c>
      <c r="Z33" s="555">
        <v>1066.49</v>
      </c>
      <c r="AA33" s="555">
        <v>1066.028</v>
      </c>
      <c r="AB33" s="555">
        <f>1063.795</f>
        <v>1063.795</v>
      </c>
      <c r="AC33" s="555">
        <v>1068.362</v>
      </c>
      <c r="AD33" s="555">
        <v>1078.74</v>
      </c>
      <c r="AE33" s="209">
        <f t="shared" si="4"/>
        <v>0.9713935913108003</v>
      </c>
      <c r="AF33" s="184" t="s">
        <v>56</v>
      </c>
    </row>
    <row r="34" spans="1:32" s="24" customFormat="1" ht="12.75" customHeight="1">
      <c r="A34" s="436"/>
      <c r="B34" s="10" t="s">
        <v>55</v>
      </c>
      <c r="C34" s="188">
        <v>164</v>
      </c>
      <c r="D34" s="188">
        <v>552</v>
      </c>
      <c r="E34" s="554">
        <v>880</v>
      </c>
      <c r="F34" s="554">
        <v>929</v>
      </c>
      <c r="G34" s="554">
        <v>971</v>
      </c>
      <c r="H34" s="554">
        <v>994.933</v>
      </c>
      <c r="I34" s="554">
        <v>994.046</v>
      </c>
      <c r="J34" s="554">
        <v>1015.794</v>
      </c>
      <c r="K34" s="554">
        <v>1058.425</v>
      </c>
      <c r="L34" s="554">
        <v>1135.914</v>
      </c>
      <c r="M34" s="554">
        <v>1196.109</v>
      </c>
      <c r="N34" s="554">
        <v>1236.4</v>
      </c>
      <c r="O34" s="554">
        <v>1274.2</v>
      </c>
      <c r="P34" s="554">
        <v>1292.8</v>
      </c>
      <c r="Q34" s="554">
        <v>1326.9</v>
      </c>
      <c r="R34" s="557">
        <v>1356.2</v>
      </c>
      <c r="S34" s="554">
        <v>1197.03</v>
      </c>
      <c r="T34" s="554">
        <v>1303.704</v>
      </c>
      <c r="U34" s="554">
        <v>1333.749</v>
      </c>
      <c r="V34" s="554">
        <v>1433.926</v>
      </c>
      <c r="W34" s="554">
        <v>1544.888</v>
      </c>
      <c r="X34" s="563">
        <v>1589.044</v>
      </c>
      <c r="Y34" s="563">
        <v>1669.065</v>
      </c>
      <c r="Z34" s="563">
        <v>1749.3</v>
      </c>
      <c r="AA34" s="563">
        <v>1824.19</v>
      </c>
      <c r="AB34" s="563">
        <f>1879.759</f>
        <v>1879.759</v>
      </c>
      <c r="AC34" s="563">
        <v>1949.055</v>
      </c>
      <c r="AD34" s="563">
        <v>2034.574</v>
      </c>
      <c r="AE34" s="437">
        <f t="shared" si="4"/>
        <v>4.387716098314314</v>
      </c>
      <c r="AF34" s="10" t="s">
        <v>55</v>
      </c>
    </row>
    <row r="35" spans="1:32" ht="12.75" customHeight="1">
      <c r="A35" s="8"/>
      <c r="B35" s="184" t="s">
        <v>71</v>
      </c>
      <c r="C35" s="189">
        <v>712</v>
      </c>
      <c r="D35" s="189">
        <v>1226</v>
      </c>
      <c r="E35" s="555">
        <v>1938.856</v>
      </c>
      <c r="F35" s="555">
        <v>1923</v>
      </c>
      <c r="G35" s="555">
        <v>1936</v>
      </c>
      <c r="H35" s="555">
        <v>1872.933</v>
      </c>
      <c r="I35" s="555">
        <v>1872.588</v>
      </c>
      <c r="J35" s="555">
        <v>1900.855</v>
      </c>
      <c r="K35" s="555">
        <v>1942.752</v>
      </c>
      <c r="L35" s="555">
        <v>1948.126</v>
      </c>
      <c r="M35" s="555">
        <v>2021.116</v>
      </c>
      <c r="N35" s="555">
        <v>2082.58</v>
      </c>
      <c r="O35" s="555">
        <v>2134.728</v>
      </c>
      <c r="P35" s="555">
        <v>2160.603</v>
      </c>
      <c r="Q35" s="555">
        <v>2194.683</v>
      </c>
      <c r="R35" s="555">
        <v>2274.577</v>
      </c>
      <c r="S35" s="555">
        <v>2346.726</v>
      </c>
      <c r="T35" s="555">
        <v>2430.345</v>
      </c>
      <c r="U35" s="555">
        <v>2505.543</v>
      </c>
      <c r="V35" s="555">
        <v>2570.356</v>
      </c>
      <c r="W35" s="555">
        <v>2700.492</v>
      </c>
      <c r="X35" s="555">
        <v>2776.664</v>
      </c>
      <c r="Y35" s="555">
        <v>2877.484</v>
      </c>
      <c r="Z35" s="555">
        <v>2978.729</v>
      </c>
      <c r="AA35" s="555">
        <v>3057.484</v>
      </c>
      <c r="AB35" s="555">
        <f>3127.399</f>
        <v>3127.399</v>
      </c>
      <c r="AC35" s="555">
        <v>3194.95</v>
      </c>
      <c r="AD35" s="561">
        <v>3257.581</v>
      </c>
      <c r="AE35" s="209">
        <f t="shared" si="4"/>
        <v>1.9603123679556802</v>
      </c>
      <c r="AF35" s="184" t="s">
        <v>71</v>
      </c>
    </row>
    <row r="36" spans="1:32" s="24" customFormat="1" ht="12.75" customHeight="1">
      <c r="A36" s="436"/>
      <c r="B36" s="10" t="s">
        <v>72</v>
      </c>
      <c r="C36" s="188">
        <v>2288</v>
      </c>
      <c r="D36" s="188">
        <v>2883</v>
      </c>
      <c r="E36" s="554">
        <v>3601</v>
      </c>
      <c r="F36" s="554">
        <v>3619</v>
      </c>
      <c r="G36" s="554">
        <v>3589</v>
      </c>
      <c r="H36" s="554">
        <v>3566.1</v>
      </c>
      <c r="I36" s="554">
        <v>3594.2</v>
      </c>
      <c r="J36" s="554">
        <v>3630.76</v>
      </c>
      <c r="K36" s="554">
        <v>3654.92</v>
      </c>
      <c r="L36" s="554">
        <v>3701.17</v>
      </c>
      <c r="M36" s="554">
        <v>3790.695</v>
      </c>
      <c r="N36" s="554">
        <v>3890.159</v>
      </c>
      <c r="O36" s="554">
        <v>3998.614</v>
      </c>
      <c r="P36" s="554">
        <v>4018.533</v>
      </c>
      <c r="Q36" s="554">
        <v>4042.792</v>
      </c>
      <c r="R36" s="554">
        <v>4075.414</v>
      </c>
      <c r="S36" s="554">
        <v>4113.424</v>
      </c>
      <c r="T36" s="554">
        <v>4153.674</v>
      </c>
      <c r="U36" s="554">
        <v>4202.463</v>
      </c>
      <c r="V36" s="554">
        <v>4258.463</v>
      </c>
      <c r="W36" s="554">
        <v>4278.995</v>
      </c>
      <c r="X36" s="554">
        <v>4300.752</v>
      </c>
      <c r="Y36" s="554">
        <v>4335.182</v>
      </c>
      <c r="Z36" s="554">
        <v>4401.352</v>
      </c>
      <c r="AA36" s="554">
        <v>4447.165</v>
      </c>
      <c r="AB36" s="554">
        <v>4495.473</v>
      </c>
      <c r="AC36" s="554">
        <v>4585.519</v>
      </c>
      <c r="AD36" s="562">
        <v>4669.063</v>
      </c>
      <c r="AE36" s="156">
        <f t="shared" si="4"/>
        <v>1.8219093629314216</v>
      </c>
      <c r="AF36" s="10" t="s">
        <v>72</v>
      </c>
    </row>
    <row r="37" spans="1:32" ht="12.75" customHeight="1">
      <c r="A37" s="8"/>
      <c r="B37" s="186" t="s">
        <v>61</v>
      </c>
      <c r="C37" s="191">
        <v>11900</v>
      </c>
      <c r="D37" s="191">
        <v>15619</v>
      </c>
      <c r="E37" s="565">
        <v>20722</v>
      </c>
      <c r="F37" s="565">
        <v>20760</v>
      </c>
      <c r="G37" s="565">
        <v>20970</v>
      </c>
      <c r="H37" s="565">
        <v>21290.696</v>
      </c>
      <c r="I37" s="565">
        <v>21740.709</v>
      </c>
      <c r="J37" s="565">
        <v>21950.81</v>
      </c>
      <c r="K37" s="565">
        <v>22818.718</v>
      </c>
      <c r="L37" s="565">
        <v>23450</v>
      </c>
      <c r="M37" s="565">
        <f>23293+36+592.836+0.393</f>
        <v>23922.229</v>
      </c>
      <c r="N37" s="565">
        <f>23975+37+615.567+0.375</f>
        <v>24627.942</v>
      </c>
      <c r="O37" s="565">
        <f>24406+38+622.488+0.376</f>
        <v>25066.864</v>
      </c>
      <c r="P37" s="565">
        <f>25126+39+650.323+0.379</f>
        <v>25815.702</v>
      </c>
      <c r="Q37" s="565">
        <f>25782+39+671.18+0.413</f>
        <v>26492.593</v>
      </c>
      <c r="R37" s="565">
        <f>26240+39+712.835+0.513</f>
        <v>26992.347999999998</v>
      </c>
      <c r="S37" s="565">
        <f>27028+41+736.706+0.538</f>
        <v>27806.244</v>
      </c>
      <c r="T37" s="565">
        <f>27520+42+763.664+0.633</f>
        <v>28326.297000000002</v>
      </c>
      <c r="U37" s="565">
        <f>27609.2+43+793.763+0.698</f>
        <v>28446.661</v>
      </c>
      <c r="V37" s="565">
        <v>28873.319</v>
      </c>
      <c r="W37" s="565">
        <v>29049.914</v>
      </c>
      <c r="X37" s="565">
        <v>29152.304000000004</v>
      </c>
      <c r="Y37" s="565">
        <v>29333.576</v>
      </c>
      <c r="Z37" s="565">
        <v>29382.213999999996</v>
      </c>
      <c r="AA37" s="565">
        <v>29644.178</v>
      </c>
      <c r="AB37" s="565">
        <f>29140.9+43.473+890.484+0.579</f>
        <v>30075.436000000005</v>
      </c>
      <c r="AC37" s="565">
        <f>29611.5+901.779+0.556+43.322</f>
        <v>30557.157</v>
      </c>
      <c r="AD37" s="566">
        <f>31170.701+0.55+42.797</f>
        <v>31214.048</v>
      </c>
      <c r="AE37" s="210">
        <f t="shared" si="4"/>
        <v>2.149712422526747</v>
      </c>
      <c r="AF37" s="186" t="s">
        <v>61</v>
      </c>
    </row>
    <row r="38" spans="1:32" ht="12.75" customHeight="1">
      <c r="A38" s="8"/>
      <c r="B38" s="497" t="s">
        <v>221</v>
      </c>
      <c r="C38" s="188"/>
      <c r="D38" s="188"/>
      <c r="E38" s="554"/>
      <c r="F38" s="554"/>
      <c r="G38" s="554"/>
      <c r="H38" s="554">
        <v>56.728</v>
      </c>
      <c r="I38" s="554">
        <v>67.96</v>
      </c>
      <c r="J38" s="554">
        <v>58.682</v>
      </c>
      <c r="K38" s="554">
        <v>67.278</v>
      </c>
      <c r="L38" s="554">
        <v>76.822</v>
      </c>
      <c r="M38" s="554">
        <v>90.766</v>
      </c>
      <c r="N38" s="554">
        <v>92.252</v>
      </c>
      <c r="O38" s="554">
        <v>114.532</v>
      </c>
      <c r="P38" s="554">
        <v>133.533</v>
      </c>
      <c r="Q38" s="554">
        <v>148.531</v>
      </c>
      <c r="R38" s="554">
        <v>174.782</v>
      </c>
      <c r="S38" s="554">
        <v>190.004</v>
      </c>
      <c r="T38" s="554">
        <v>195.125</v>
      </c>
      <c r="U38" s="554">
        <v>225.114</v>
      </c>
      <c r="V38" s="554">
        <v>237.932</v>
      </c>
      <c r="W38" s="554">
        <v>264.828</v>
      </c>
      <c r="X38" s="567">
        <v>281.236</v>
      </c>
      <c r="Y38" s="554">
        <v>294.729</v>
      </c>
      <c r="Z38" s="554">
        <v>300.974</v>
      </c>
      <c r="AA38" s="554">
        <v>297.341</v>
      </c>
      <c r="AB38" s="554">
        <v>341.691</v>
      </c>
      <c r="AC38" s="554">
        <v>378.053</v>
      </c>
      <c r="AD38" s="564">
        <v>403.68</v>
      </c>
      <c r="AE38" s="207">
        <f t="shared" si="4"/>
        <v>6.778679179903364</v>
      </c>
      <c r="AF38" s="497" t="s">
        <v>221</v>
      </c>
    </row>
    <row r="39" spans="1:32" ht="12.75" customHeight="1">
      <c r="A39" s="8"/>
      <c r="B39" s="184" t="s">
        <v>213</v>
      </c>
      <c r="C39" s="189"/>
      <c r="D39" s="189"/>
      <c r="E39" s="555"/>
      <c r="F39" s="555"/>
      <c r="G39" s="555"/>
      <c r="H39" s="555"/>
      <c r="I39" s="555"/>
      <c r="J39" s="555"/>
      <c r="K39" s="555"/>
      <c r="L39" s="555"/>
      <c r="M39" s="555"/>
      <c r="N39" s="555"/>
      <c r="O39" s="555"/>
      <c r="P39" s="555"/>
      <c r="Q39" s="555"/>
      <c r="R39" s="555"/>
      <c r="S39" s="555"/>
      <c r="T39" s="555"/>
      <c r="U39" s="555"/>
      <c r="V39" s="555"/>
      <c r="W39" s="555"/>
      <c r="X39" s="555"/>
      <c r="Y39" s="555">
        <v>164.653</v>
      </c>
      <c r="Z39" s="555">
        <v>171.973</v>
      </c>
      <c r="AA39" s="555">
        <v>173.865</v>
      </c>
      <c r="AB39" s="555">
        <v>178.662</v>
      </c>
      <c r="AC39" s="555">
        <v>174.073</v>
      </c>
      <c r="AD39" s="561">
        <v>175.912</v>
      </c>
      <c r="AE39" s="206">
        <f t="shared" si="4"/>
        <v>1.0564533270524379</v>
      </c>
      <c r="AF39" s="184" t="s">
        <v>213</v>
      </c>
    </row>
    <row r="40" spans="1:32" ht="12.75" customHeight="1">
      <c r="A40" s="8"/>
      <c r="B40" s="497" t="s">
        <v>1</v>
      </c>
      <c r="C40" s="188"/>
      <c r="D40" s="188"/>
      <c r="E40" s="554"/>
      <c r="F40" s="554"/>
      <c r="G40" s="554"/>
      <c r="H40" s="554">
        <v>289.979</v>
      </c>
      <c r="I40" s="554">
        <v>263.181</v>
      </c>
      <c r="J40" s="554">
        <v>285.907</v>
      </c>
      <c r="K40" s="554">
        <v>284.022</v>
      </c>
      <c r="L40" s="554">
        <v>289.204</v>
      </c>
      <c r="M40" s="554">
        <v>288.678</v>
      </c>
      <c r="N40" s="554">
        <v>290</v>
      </c>
      <c r="O40" s="554">
        <v>300</v>
      </c>
      <c r="P40" s="554">
        <v>310</v>
      </c>
      <c r="Q40" s="554">
        <v>308</v>
      </c>
      <c r="R40" s="557">
        <v>299.809</v>
      </c>
      <c r="S40" s="554">
        <v>249.403</v>
      </c>
      <c r="T40" s="554">
        <v>253.234</v>
      </c>
      <c r="U40" s="554">
        <v>242.287</v>
      </c>
      <c r="V40" s="554">
        <f>248.774</f>
        <v>248.774</v>
      </c>
      <c r="W40" s="554">
        <f>263.112</f>
        <v>263.112</v>
      </c>
      <c r="X40" s="554">
        <f>282.196</f>
        <v>282.196</v>
      </c>
      <c r="Y40" s="554">
        <v>310.231</v>
      </c>
      <c r="Z40" s="554">
        <v>313.08</v>
      </c>
      <c r="AA40" s="554">
        <v>301.761</v>
      </c>
      <c r="AB40" s="554">
        <v>346.798</v>
      </c>
      <c r="AC40" s="554">
        <v>371.449</v>
      </c>
      <c r="AD40" s="562">
        <v>383.833</v>
      </c>
      <c r="AE40" s="207">
        <f t="shared" si="4"/>
        <v>3.3339704777775694</v>
      </c>
      <c r="AF40" s="497" t="s">
        <v>1</v>
      </c>
    </row>
    <row r="41" spans="1:32" ht="12.75" customHeight="1">
      <c r="A41" s="8"/>
      <c r="B41" s="184" t="s">
        <v>212</v>
      </c>
      <c r="C41" s="189"/>
      <c r="D41" s="189"/>
      <c r="E41" s="555"/>
      <c r="F41" s="555"/>
      <c r="G41" s="555"/>
      <c r="H41" s="555"/>
      <c r="I41" s="555"/>
      <c r="J41" s="555"/>
      <c r="K41" s="555"/>
      <c r="L41" s="555"/>
      <c r="M41" s="555"/>
      <c r="N41" s="555"/>
      <c r="O41" s="555"/>
      <c r="P41" s="555">
        <v>1382.396</v>
      </c>
      <c r="Q41" s="555">
        <v>1343.658</v>
      </c>
      <c r="R41" s="555">
        <v>1388.109</v>
      </c>
      <c r="S41" s="555">
        <v>1449.843</v>
      </c>
      <c r="T41" s="555">
        <v>1481.498</v>
      </c>
      <c r="U41" s="555">
        <v>1511.837</v>
      </c>
      <c r="V41" s="555">
        <v>1476.642</v>
      </c>
      <c r="W41" s="555">
        <v>1486.608</v>
      </c>
      <c r="X41" s="555">
        <v>1637.002</v>
      </c>
      <c r="Y41" s="555">
        <v>1565.55</v>
      </c>
      <c r="Z41" s="555">
        <v>1677.51</v>
      </c>
      <c r="AA41" s="555">
        <v>1726.19</v>
      </c>
      <c r="AB41" s="555">
        <v>1770.206</v>
      </c>
      <c r="AC41" s="555">
        <v>1797.427</v>
      </c>
      <c r="AD41" s="561">
        <v>1834.89</v>
      </c>
      <c r="AE41" s="206">
        <f t="shared" si="4"/>
        <v>2.0842571075209406</v>
      </c>
      <c r="AF41" s="184" t="s">
        <v>212</v>
      </c>
    </row>
    <row r="42" spans="1:32" ht="12.75" customHeight="1">
      <c r="A42" s="8"/>
      <c r="B42" s="498" t="s">
        <v>57</v>
      </c>
      <c r="C42" s="531" t="s">
        <v>74</v>
      </c>
      <c r="D42" s="531" t="s">
        <v>74</v>
      </c>
      <c r="E42" s="568"/>
      <c r="F42" s="568"/>
      <c r="G42" s="568"/>
      <c r="H42" s="568">
        <v>2619.852</v>
      </c>
      <c r="I42" s="568">
        <v>2861.64</v>
      </c>
      <c r="J42" s="568">
        <v>3058.5110000000004</v>
      </c>
      <c r="K42" s="568">
        <v>3274.156</v>
      </c>
      <c r="L42" s="568">
        <v>3570.105</v>
      </c>
      <c r="M42" s="568">
        <v>3838.288</v>
      </c>
      <c r="N42" s="568">
        <v>4072.326</v>
      </c>
      <c r="O42" s="568">
        <v>4422.18</v>
      </c>
      <c r="P42" s="568">
        <v>4534.803</v>
      </c>
      <c r="Q42" s="568">
        <v>4600.14</v>
      </c>
      <c r="R42" s="568">
        <v>4700.343</v>
      </c>
      <c r="S42" s="568">
        <v>5400.44</v>
      </c>
      <c r="T42" s="568">
        <v>5772.745</v>
      </c>
      <c r="U42" s="568">
        <v>6140.992</v>
      </c>
      <c r="V42" s="568">
        <v>6472.156</v>
      </c>
      <c r="W42" s="568">
        <v>6796.629</v>
      </c>
      <c r="X42" s="568">
        <f>7093.964</f>
        <v>7093.964</v>
      </c>
      <c r="Y42" s="568">
        <f>7544.871</f>
        <v>7544.871</v>
      </c>
      <c r="Z42" s="568">
        <v>8113.111</v>
      </c>
      <c r="AA42" s="568">
        <v>8648.875</v>
      </c>
      <c r="AB42" s="568">
        <f>9283.923</f>
        <v>9283.923</v>
      </c>
      <c r="AC42" s="568">
        <v>9857.915</v>
      </c>
      <c r="AD42" s="569">
        <v>10589.337</v>
      </c>
      <c r="AE42" s="231">
        <f t="shared" si="4"/>
        <v>7.419641983117103</v>
      </c>
      <c r="AF42" s="498" t="s">
        <v>57</v>
      </c>
    </row>
    <row r="43" spans="1:32" ht="12.75" customHeight="1">
      <c r="A43" s="8"/>
      <c r="B43" s="182" t="s">
        <v>43</v>
      </c>
      <c r="C43" s="532">
        <v>40.786</v>
      </c>
      <c r="D43" s="532">
        <v>85.924</v>
      </c>
      <c r="E43" s="570">
        <v>119.731</v>
      </c>
      <c r="F43" s="570">
        <v>120.862</v>
      </c>
      <c r="G43" s="570">
        <v>120.146</v>
      </c>
      <c r="H43" s="570">
        <v>116.195</v>
      </c>
      <c r="I43" s="570">
        <v>116.243</v>
      </c>
      <c r="J43" s="570">
        <v>119.232</v>
      </c>
      <c r="K43" s="570">
        <v>124.909</v>
      </c>
      <c r="L43" s="570">
        <v>132.468</v>
      </c>
      <c r="M43" s="570">
        <v>140.372</v>
      </c>
      <c r="N43" s="570">
        <v>151.409</v>
      </c>
      <c r="O43" s="570">
        <v>158.936</v>
      </c>
      <c r="P43" s="570">
        <v>159.865</v>
      </c>
      <c r="Q43" s="570">
        <v>161.721</v>
      </c>
      <c r="R43" s="570">
        <v>166.869</v>
      </c>
      <c r="S43" s="570">
        <v>175.427</v>
      </c>
      <c r="T43" s="570">
        <v>187.442</v>
      </c>
      <c r="U43" s="570">
        <v>197.305</v>
      </c>
      <c r="V43" s="570">
        <v>207.513</v>
      </c>
      <c r="W43" s="570">
        <v>209.74</v>
      </c>
      <c r="X43" s="570">
        <v>205.338</v>
      </c>
      <c r="Y43" s="570">
        <v>204.736</v>
      </c>
      <c r="Z43" s="570">
        <f>206.112</f>
        <v>206.112</v>
      </c>
      <c r="AA43" s="570">
        <f>210.07</f>
        <v>210.07</v>
      </c>
      <c r="AB43" s="890">
        <v>213.113</v>
      </c>
      <c r="AC43" s="890">
        <v>217.454</v>
      </c>
      <c r="AD43" s="571">
        <v>226.321</v>
      </c>
      <c r="AE43" s="533">
        <f t="shared" si="4"/>
        <v>4.077644007468237</v>
      </c>
      <c r="AF43" s="182" t="s">
        <v>43</v>
      </c>
    </row>
    <row r="44" spans="1:32" ht="12.75" customHeight="1">
      <c r="A44" s="8"/>
      <c r="B44" s="497" t="s">
        <v>73</v>
      </c>
      <c r="C44" s="188">
        <v>690</v>
      </c>
      <c r="D44" s="188">
        <v>1230</v>
      </c>
      <c r="E44" s="554">
        <v>1613.037</v>
      </c>
      <c r="F44" s="554">
        <v>1614.623</v>
      </c>
      <c r="G44" s="554">
        <v>1619.438</v>
      </c>
      <c r="H44" s="554">
        <v>1633.088</v>
      </c>
      <c r="I44" s="554">
        <v>1653.678</v>
      </c>
      <c r="J44" s="554">
        <v>1684.664</v>
      </c>
      <c r="K44" s="554">
        <v>1661.247</v>
      </c>
      <c r="L44" s="554">
        <v>1758.001</v>
      </c>
      <c r="M44" s="554">
        <v>1786.404</v>
      </c>
      <c r="N44" s="554">
        <v>1813.642</v>
      </c>
      <c r="O44" s="554">
        <v>1851.929</v>
      </c>
      <c r="P44" s="554">
        <v>1872.862</v>
      </c>
      <c r="Q44" s="554">
        <v>1899.767</v>
      </c>
      <c r="R44" s="554">
        <v>1933.66</v>
      </c>
      <c r="S44" s="554">
        <v>1977.922</v>
      </c>
      <c r="T44" s="554">
        <v>2028.909</v>
      </c>
      <c r="U44" s="554">
        <v>2084.193</v>
      </c>
      <c r="V44" s="554">
        <v>2154.837</v>
      </c>
      <c r="W44" s="554">
        <v>2197.193</v>
      </c>
      <c r="X44" s="554">
        <v>2244</v>
      </c>
      <c r="Y44" s="554">
        <v>2308.548</v>
      </c>
      <c r="Z44" s="554">
        <v>2376</v>
      </c>
      <c r="AA44" s="554">
        <v>2443</v>
      </c>
      <c r="AB44" s="554">
        <f>2500.265</f>
        <v>2500.265</v>
      </c>
      <c r="AC44" s="554">
        <v>2555.443</v>
      </c>
      <c r="AD44" s="562">
        <v>2610.352</v>
      </c>
      <c r="AE44" s="207">
        <f t="shared" si="4"/>
        <v>2.1487076800382283</v>
      </c>
      <c r="AF44" s="497" t="s">
        <v>73</v>
      </c>
    </row>
    <row r="45" spans="1:32" ht="12.75" customHeight="1">
      <c r="A45" s="8"/>
      <c r="B45" s="184" t="s">
        <v>44</v>
      </c>
      <c r="C45" s="189">
        <v>1383.204</v>
      </c>
      <c r="D45" s="189">
        <v>2246.752</v>
      </c>
      <c r="E45" s="555">
        <v>2985.397</v>
      </c>
      <c r="F45" s="555">
        <v>3057.798</v>
      </c>
      <c r="G45" s="555">
        <v>3091.228</v>
      </c>
      <c r="H45" s="555">
        <v>3109.523</v>
      </c>
      <c r="I45" s="555">
        <v>3165.042</v>
      </c>
      <c r="J45" s="555">
        <v>3229.176</v>
      </c>
      <c r="K45" s="555">
        <v>3268.093</v>
      </c>
      <c r="L45" s="555">
        <v>3323.455</v>
      </c>
      <c r="M45" s="555">
        <v>3383.307</v>
      </c>
      <c r="N45" s="555">
        <v>3467.311</v>
      </c>
      <c r="O45" s="555">
        <v>3545.247</v>
      </c>
      <c r="P45" s="555">
        <v>3629.713</v>
      </c>
      <c r="Q45" s="555">
        <v>3700.951</v>
      </c>
      <c r="R45" s="555">
        <v>3753.89</v>
      </c>
      <c r="S45" s="555">
        <v>3811.351</v>
      </c>
      <c r="T45" s="555">
        <v>3861.442</v>
      </c>
      <c r="U45" s="555">
        <v>3900.014</v>
      </c>
      <c r="V45" s="555">
        <v>3955.787</v>
      </c>
      <c r="W45" s="555">
        <v>3989.811</v>
      </c>
      <c r="X45" s="555">
        <f>4009.602</f>
        <v>4009.602</v>
      </c>
      <c r="Y45" s="555">
        <v>4075.825</v>
      </c>
      <c r="Z45" s="555">
        <v>4163</v>
      </c>
      <c r="AA45" s="555">
        <v>4255</v>
      </c>
      <c r="AB45" s="555">
        <v>4320.885</v>
      </c>
      <c r="AC45" s="555">
        <v>4384.49</v>
      </c>
      <c r="AD45" s="561">
        <v>4458.069</v>
      </c>
      <c r="AE45" s="206">
        <f t="shared" si="4"/>
        <v>1.67816553350562</v>
      </c>
      <c r="AF45" s="184" t="s">
        <v>44</v>
      </c>
    </row>
    <row r="46" spans="1:32" ht="12.75" customHeight="1">
      <c r="A46" s="8"/>
      <c r="B46" s="498" t="s">
        <v>83</v>
      </c>
      <c r="C46" s="531"/>
      <c r="D46" s="531"/>
      <c r="E46" s="568">
        <v>16.891</v>
      </c>
      <c r="F46" s="568">
        <v>17.328</v>
      </c>
      <c r="G46" s="568">
        <v>17.679</v>
      </c>
      <c r="H46" s="568">
        <v>17.767</v>
      </c>
      <c r="I46" s="568">
        <v>18.256</v>
      </c>
      <c r="J46" s="568">
        <v>18.82</v>
      </c>
      <c r="K46" s="568">
        <v>19.31</v>
      </c>
      <c r="L46" s="568">
        <v>19.926</v>
      </c>
      <c r="M46" s="568">
        <v>20.469</v>
      </c>
      <c r="N46" s="568">
        <v>21.15</v>
      </c>
      <c r="O46" s="568">
        <v>21.784</v>
      </c>
      <c r="P46" s="568">
        <v>22.626</v>
      </c>
      <c r="Q46" s="568">
        <v>23.265</v>
      </c>
      <c r="R46" s="568">
        <v>23.524</v>
      </c>
      <c r="S46" s="568">
        <v>23.935</v>
      </c>
      <c r="T46" s="568">
        <v>24.393</v>
      </c>
      <c r="U46" s="568">
        <v>24.293</v>
      </c>
      <c r="V46" s="568">
        <v>24.368</v>
      </c>
      <c r="W46" s="568">
        <v>25.462</v>
      </c>
      <c r="X46" s="568">
        <f>25.909</f>
        <v>25.909</v>
      </c>
      <c r="Y46" s="568">
        <v>26.89</v>
      </c>
      <c r="Z46" s="568">
        <v>27.327</v>
      </c>
      <c r="AA46" s="568">
        <v>28.004</v>
      </c>
      <c r="AB46" s="568">
        <v>28.102</v>
      </c>
      <c r="AC46" s="568">
        <v>28.474</v>
      </c>
      <c r="AD46" s="569">
        <v>28.802</v>
      </c>
      <c r="AE46" s="231">
        <f t="shared" si="4"/>
        <v>1.1519280747348546</v>
      </c>
      <c r="AF46" s="498" t="s">
        <v>83</v>
      </c>
    </row>
    <row r="47" spans="2:32" ht="17.25" customHeight="1">
      <c r="B47" s="1030" t="s">
        <v>201</v>
      </c>
      <c r="C47" s="1031"/>
      <c r="D47" s="1031"/>
      <c r="E47" s="1031"/>
      <c r="F47" s="1031"/>
      <c r="G47" s="1031"/>
      <c r="H47" s="1031"/>
      <c r="I47" s="1031"/>
      <c r="J47" s="1031"/>
      <c r="K47" s="1031"/>
      <c r="L47" s="1031"/>
      <c r="M47" s="1031"/>
      <c r="N47" s="1031"/>
      <c r="O47" s="1031"/>
      <c r="P47" s="1031"/>
      <c r="Q47" s="1031"/>
      <c r="R47" s="1031"/>
      <c r="S47" s="1031"/>
      <c r="T47" s="1031"/>
      <c r="U47" s="1031"/>
      <c r="V47" s="1031"/>
      <c r="W47" s="1031"/>
      <c r="X47" s="1031"/>
      <c r="Y47" s="1031"/>
      <c r="Z47" s="1031"/>
      <c r="AA47" s="1031"/>
      <c r="AB47" s="1031"/>
      <c r="AC47" s="1031"/>
      <c r="AD47" s="1032"/>
      <c r="AE47" s="1031"/>
      <c r="AF47" s="1031"/>
    </row>
    <row r="48" spans="2:32" ht="12.75" customHeight="1">
      <c r="B48" s="1033" t="s">
        <v>0</v>
      </c>
      <c r="C48" s="1027"/>
      <c r="D48" s="1027"/>
      <c r="E48" s="1027"/>
      <c r="F48" s="1027"/>
      <c r="G48" s="1027"/>
      <c r="H48" s="1027"/>
      <c r="I48" s="1027"/>
      <c r="J48" s="1027"/>
      <c r="K48" s="1027"/>
      <c r="L48" s="1027"/>
      <c r="M48" s="1027"/>
      <c r="N48" s="1027"/>
      <c r="O48" s="1027"/>
      <c r="P48" s="1027"/>
      <c r="Q48" s="1027"/>
      <c r="R48" s="1027"/>
      <c r="S48" s="1027"/>
      <c r="T48" s="1027"/>
      <c r="U48" s="1027"/>
      <c r="V48" s="1027"/>
      <c r="W48" s="1027"/>
      <c r="X48" s="1027"/>
      <c r="Y48" s="1027"/>
      <c r="Z48" s="1027"/>
      <c r="AA48" s="1027"/>
      <c r="AB48" s="1027"/>
      <c r="AC48" s="1027"/>
      <c r="AD48" s="1027"/>
      <c r="AE48" s="1027"/>
      <c r="AF48" s="1028"/>
    </row>
    <row r="49" spans="2:32" ht="12.75" customHeight="1">
      <c r="B49" s="1027" t="s">
        <v>214</v>
      </c>
      <c r="C49" s="1027"/>
      <c r="D49" s="1027"/>
      <c r="E49" s="1027"/>
      <c r="F49" s="1027"/>
      <c r="G49" s="1027"/>
      <c r="H49" s="1027"/>
      <c r="I49" s="1027"/>
      <c r="J49" s="1027"/>
      <c r="K49" s="1027"/>
      <c r="L49" s="1027"/>
      <c r="M49" s="1027"/>
      <c r="N49" s="1027"/>
      <c r="O49" s="1027"/>
      <c r="P49" s="1027"/>
      <c r="Q49" s="1027"/>
      <c r="R49" s="1027"/>
      <c r="S49" s="1027"/>
      <c r="T49" s="1027"/>
      <c r="U49" s="1027"/>
      <c r="V49" s="1027"/>
      <c r="W49" s="1027"/>
      <c r="X49" s="1027"/>
      <c r="Y49" s="1027"/>
      <c r="Z49" s="1027"/>
      <c r="AA49" s="1027"/>
      <c r="AB49" s="1027"/>
      <c r="AC49" s="1027"/>
      <c r="AD49" s="1027"/>
      <c r="AE49" s="1027"/>
      <c r="AF49" s="1028"/>
    </row>
    <row r="50" spans="2:32" ht="12.75" customHeight="1">
      <c r="B50" s="995" t="s">
        <v>167</v>
      </c>
      <c r="C50" s="995"/>
      <c r="D50" s="995"/>
      <c r="E50" s="995"/>
      <c r="F50" s="995"/>
      <c r="G50" s="995"/>
      <c r="H50" s="995"/>
      <c r="I50" s="995"/>
      <c r="J50" s="995"/>
      <c r="K50" s="995"/>
      <c r="L50" s="995"/>
      <c r="M50" s="995"/>
      <c r="N50" s="995"/>
      <c r="O50" s="995"/>
      <c r="P50" s="995"/>
      <c r="Q50" s="995"/>
      <c r="R50" s="995"/>
      <c r="S50" s="995"/>
      <c r="T50" s="995"/>
      <c r="U50" s="995"/>
      <c r="V50" s="995"/>
      <c r="W50" s="995"/>
      <c r="X50" s="995"/>
      <c r="Y50" s="995"/>
      <c r="Z50" s="995"/>
      <c r="AA50" s="995"/>
      <c r="AB50" s="995"/>
      <c r="AC50" s="995"/>
      <c r="AD50" s="995"/>
      <c r="AE50" s="995"/>
      <c r="AF50" s="995"/>
    </row>
    <row r="51" spans="2:32" ht="11.25">
      <c r="B51" s="995" t="s">
        <v>215</v>
      </c>
      <c r="C51" s="995"/>
      <c r="D51" s="995"/>
      <c r="E51" s="995"/>
      <c r="F51" s="995"/>
      <c r="G51" s="995"/>
      <c r="H51" s="995"/>
      <c r="I51" s="995"/>
      <c r="J51" s="995"/>
      <c r="K51" s="995"/>
      <c r="L51" s="995"/>
      <c r="M51" s="995"/>
      <c r="N51" s="995"/>
      <c r="O51" s="995"/>
      <c r="P51" s="995"/>
      <c r="Q51" s="995"/>
      <c r="R51" s="995"/>
      <c r="S51" s="995"/>
      <c r="T51" s="995"/>
      <c r="U51" s="995"/>
      <c r="V51" s="995"/>
      <c r="W51" s="995"/>
      <c r="X51" s="995"/>
      <c r="Y51" s="995"/>
      <c r="Z51" s="995"/>
      <c r="AA51" s="995"/>
      <c r="AB51" s="995"/>
      <c r="AC51" s="995"/>
      <c r="AD51" s="995"/>
      <c r="AE51" s="995"/>
      <c r="AF51" s="995"/>
    </row>
    <row r="52" spans="2:32" ht="11.25">
      <c r="B52" s="995"/>
      <c r="C52" s="995"/>
      <c r="D52" s="995"/>
      <c r="E52" s="995"/>
      <c r="F52" s="995"/>
      <c r="G52" s="995"/>
      <c r="H52" s="995"/>
      <c r="I52" s="995"/>
      <c r="J52" s="995"/>
      <c r="K52" s="995"/>
      <c r="L52" s="995"/>
      <c r="M52" s="995"/>
      <c r="N52" s="995"/>
      <c r="O52" s="995"/>
      <c r="P52" s="995"/>
      <c r="Q52" s="995"/>
      <c r="R52" s="995"/>
      <c r="S52" s="995"/>
      <c r="T52" s="995"/>
      <c r="U52" s="995"/>
      <c r="V52" s="995"/>
      <c r="W52" s="995"/>
      <c r="X52" s="995"/>
      <c r="Y52" s="995"/>
      <c r="Z52" s="995"/>
      <c r="AA52" s="995"/>
      <c r="AB52" s="995"/>
      <c r="AC52" s="995"/>
      <c r="AD52" s="995"/>
      <c r="AE52" s="995"/>
      <c r="AF52" s="995"/>
    </row>
    <row r="53" spans="2:32" ht="11.25">
      <c r="B53" s="995"/>
      <c r="C53" s="995"/>
      <c r="D53" s="995"/>
      <c r="E53" s="995"/>
      <c r="F53" s="995"/>
      <c r="G53" s="995"/>
      <c r="H53" s="995"/>
      <c r="I53" s="995"/>
      <c r="J53" s="995"/>
      <c r="K53" s="995"/>
      <c r="L53" s="995"/>
      <c r="M53" s="995"/>
      <c r="N53" s="995"/>
      <c r="O53" s="995"/>
      <c r="P53" s="995"/>
      <c r="Q53" s="995"/>
      <c r="R53" s="995"/>
      <c r="S53" s="995"/>
      <c r="T53" s="995"/>
      <c r="U53" s="995"/>
      <c r="V53" s="995"/>
      <c r="W53" s="995"/>
      <c r="X53" s="995"/>
      <c r="Y53" s="995"/>
      <c r="Z53" s="995"/>
      <c r="AA53" s="995"/>
      <c r="AB53" s="995"/>
      <c r="AC53" s="995"/>
      <c r="AD53" s="995"/>
      <c r="AE53" s="995"/>
      <c r="AF53" s="995"/>
    </row>
    <row r="54" spans="2:32" ht="11.25">
      <c r="B54" s="995"/>
      <c r="C54" s="995"/>
      <c r="D54" s="995"/>
      <c r="E54" s="995"/>
      <c r="F54" s="995"/>
      <c r="G54" s="995"/>
      <c r="H54" s="995"/>
      <c r="I54" s="995"/>
      <c r="J54" s="995"/>
      <c r="K54" s="995"/>
      <c r="L54" s="995"/>
      <c r="M54" s="995"/>
      <c r="N54" s="995"/>
      <c r="O54" s="995"/>
      <c r="P54" s="995"/>
      <c r="Q54" s="995"/>
      <c r="R54" s="995"/>
      <c r="S54" s="995"/>
      <c r="T54" s="995"/>
      <c r="U54" s="995"/>
      <c r="V54" s="995"/>
      <c r="W54" s="995"/>
      <c r="X54" s="995"/>
      <c r="Y54" s="995"/>
      <c r="Z54" s="995"/>
      <c r="AA54" s="995"/>
      <c r="AB54" s="995"/>
      <c r="AC54" s="995"/>
      <c r="AD54" s="995"/>
      <c r="AE54" s="995"/>
      <c r="AF54" s="995"/>
    </row>
    <row r="55" spans="2:32" ht="11.25">
      <c r="B55" s="995"/>
      <c r="C55" s="995"/>
      <c r="D55" s="995"/>
      <c r="E55" s="995"/>
      <c r="F55" s="995"/>
      <c r="G55" s="995"/>
      <c r="H55" s="995"/>
      <c r="I55" s="995"/>
      <c r="J55" s="995"/>
      <c r="K55" s="995"/>
      <c r="L55" s="995"/>
      <c r="M55" s="995"/>
      <c r="N55" s="995"/>
      <c r="O55" s="995"/>
      <c r="P55" s="995"/>
      <c r="Q55" s="995"/>
      <c r="R55" s="995"/>
      <c r="S55" s="995"/>
      <c r="T55" s="995"/>
      <c r="U55" s="995"/>
      <c r="V55" s="995"/>
      <c r="W55" s="995"/>
      <c r="X55" s="995"/>
      <c r="Y55" s="995"/>
      <c r="Z55" s="995"/>
      <c r="AA55" s="995"/>
      <c r="AB55" s="995"/>
      <c r="AC55" s="995"/>
      <c r="AD55" s="995"/>
      <c r="AE55" s="995"/>
      <c r="AF55" s="995"/>
    </row>
    <row r="56" spans="2:32" ht="11.25">
      <c r="B56" s="995"/>
      <c r="C56" s="995"/>
      <c r="D56" s="995"/>
      <c r="E56" s="995"/>
      <c r="F56" s="995"/>
      <c r="G56" s="995"/>
      <c r="H56" s="995"/>
      <c r="I56" s="995"/>
      <c r="J56" s="995"/>
      <c r="K56" s="995"/>
      <c r="L56" s="995"/>
      <c r="M56" s="995"/>
      <c r="N56" s="995"/>
      <c r="O56" s="995"/>
      <c r="P56" s="995"/>
      <c r="Q56" s="995"/>
      <c r="R56" s="995"/>
      <c r="S56" s="995"/>
      <c r="T56" s="995"/>
      <c r="U56" s="995"/>
      <c r="V56" s="995"/>
      <c r="W56" s="995"/>
      <c r="X56" s="995"/>
      <c r="Y56" s="995"/>
      <c r="Z56" s="995"/>
      <c r="AA56" s="995"/>
      <c r="AB56" s="995"/>
      <c r="AC56" s="995"/>
      <c r="AD56" s="995"/>
      <c r="AE56" s="995"/>
      <c r="AF56" s="995"/>
    </row>
    <row r="57" spans="2:32" ht="11.25">
      <c r="B57" s="995"/>
      <c r="C57" s="995"/>
      <c r="D57" s="995"/>
      <c r="E57" s="995"/>
      <c r="F57" s="995"/>
      <c r="G57" s="995"/>
      <c r="H57" s="995"/>
      <c r="I57" s="995"/>
      <c r="J57" s="995"/>
      <c r="K57" s="995"/>
      <c r="L57" s="995"/>
      <c r="M57" s="995"/>
      <c r="N57" s="995"/>
      <c r="O57" s="995"/>
      <c r="P57" s="995"/>
      <c r="Q57" s="995"/>
      <c r="R57" s="995"/>
      <c r="S57" s="995"/>
      <c r="T57" s="995"/>
      <c r="U57" s="995"/>
      <c r="V57" s="995"/>
      <c r="W57" s="995"/>
      <c r="X57" s="995"/>
      <c r="Y57" s="995"/>
      <c r="Z57" s="995"/>
      <c r="AA57" s="995"/>
      <c r="AB57" s="995"/>
      <c r="AC57" s="995"/>
      <c r="AD57" s="995"/>
      <c r="AE57" s="995"/>
      <c r="AF57" s="995"/>
    </row>
    <row r="58" spans="2:32" ht="11.25">
      <c r="B58" s="995"/>
      <c r="C58" s="995"/>
      <c r="D58" s="995"/>
      <c r="E58" s="995"/>
      <c r="F58" s="995"/>
      <c r="G58" s="995"/>
      <c r="H58" s="995"/>
      <c r="I58" s="995"/>
      <c r="J58" s="995"/>
      <c r="K58" s="995"/>
      <c r="L58" s="995"/>
      <c r="M58" s="995"/>
      <c r="N58" s="995"/>
      <c r="O58" s="995"/>
      <c r="P58" s="995"/>
      <c r="Q58" s="995"/>
      <c r="R58" s="995"/>
      <c r="S58" s="995"/>
      <c r="T58" s="995"/>
      <c r="U58" s="995"/>
      <c r="V58" s="995"/>
      <c r="W58" s="995"/>
      <c r="X58" s="995"/>
      <c r="Y58" s="995"/>
      <c r="Z58" s="995"/>
      <c r="AA58" s="995"/>
      <c r="AB58" s="995"/>
      <c r="AC58" s="995"/>
      <c r="AD58" s="995"/>
      <c r="AE58" s="995"/>
      <c r="AF58" s="995"/>
    </row>
    <row r="59" spans="2:32" ht="11.25">
      <c r="B59" s="995"/>
      <c r="C59" s="995"/>
      <c r="D59" s="995"/>
      <c r="E59" s="995"/>
      <c r="F59" s="995"/>
      <c r="G59" s="995"/>
      <c r="H59" s="995"/>
      <c r="I59" s="995"/>
      <c r="J59" s="995"/>
      <c r="K59" s="995"/>
      <c r="L59" s="995"/>
      <c r="M59" s="995"/>
      <c r="N59" s="995"/>
      <c r="O59" s="995"/>
      <c r="P59" s="995"/>
      <c r="Q59" s="995"/>
      <c r="R59" s="995"/>
      <c r="S59" s="995"/>
      <c r="T59" s="995"/>
      <c r="U59" s="995"/>
      <c r="V59" s="995"/>
      <c r="W59" s="995"/>
      <c r="X59" s="995"/>
      <c r="Y59" s="995"/>
      <c r="Z59" s="995"/>
      <c r="AA59" s="995"/>
      <c r="AB59" s="995"/>
      <c r="AC59" s="995"/>
      <c r="AD59" s="995"/>
      <c r="AE59" s="995"/>
      <c r="AF59" s="995"/>
    </row>
    <row r="60" spans="2:32" ht="11.25">
      <c r="B60" s="995"/>
      <c r="C60" s="995"/>
      <c r="D60" s="995"/>
      <c r="E60" s="995"/>
      <c r="F60" s="995"/>
      <c r="G60" s="995"/>
      <c r="H60" s="995"/>
      <c r="I60" s="995"/>
      <c r="J60" s="995"/>
      <c r="K60" s="995"/>
      <c r="L60" s="995"/>
      <c r="M60" s="995"/>
      <c r="N60" s="995"/>
      <c r="O60" s="995"/>
      <c r="P60" s="995"/>
      <c r="Q60" s="995"/>
      <c r="R60" s="995"/>
      <c r="S60" s="995"/>
      <c r="T60" s="995"/>
      <c r="U60" s="995"/>
      <c r="V60" s="995"/>
      <c r="W60" s="995"/>
      <c r="X60" s="995"/>
      <c r="Y60" s="995"/>
      <c r="Z60" s="995"/>
      <c r="AA60" s="995"/>
      <c r="AB60" s="995"/>
      <c r="AC60" s="995"/>
      <c r="AD60" s="995"/>
      <c r="AE60" s="995"/>
      <c r="AF60" s="995"/>
    </row>
    <row r="61" spans="2:32" ht="11.25">
      <c r="B61" s="995"/>
      <c r="C61" s="995"/>
      <c r="D61" s="995"/>
      <c r="E61" s="995"/>
      <c r="F61" s="995"/>
      <c r="G61" s="995"/>
      <c r="H61" s="995"/>
      <c r="I61" s="995"/>
      <c r="J61" s="995"/>
      <c r="K61" s="995"/>
      <c r="L61" s="995"/>
      <c r="M61" s="995"/>
      <c r="N61" s="995"/>
      <c r="O61" s="995"/>
      <c r="P61" s="995"/>
      <c r="Q61" s="995"/>
      <c r="R61" s="995"/>
      <c r="S61" s="995"/>
      <c r="T61" s="995"/>
      <c r="U61" s="995"/>
      <c r="V61" s="995"/>
      <c r="W61" s="995"/>
      <c r="X61" s="995"/>
      <c r="Y61" s="995"/>
      <c r="Z61" s="995"/>
      <c r="AA61" s="995"/>
      <c r="AB61" s="995"/>
      <c r="AC61" s="995"/>
      <c r="AD61" s="995"/>
      <c r="AE61" s="995"/>
      <c r="AF61" s="995"/>
    </row>
    <row r="62" spans="2:32" ht="11.25">
      <c r="B62" s="995"/>
      <c r="C62" s="995"/>
      <c r="D62" s="995"/>
      <c r="E62" s="995"/>
      <c r="F62" s="995"/>
      <c r="G62" s="995"/>
      <c r="H62" s="995"/>
      <c r="I62" s="995"/>
      <c r="J62" s="995"/>
      <c r="K62" s="995"/>
      <c r="L62" s="995"/>
      <c r="M62" s="995"/>
      <c r="N62" s="995"/>
      <c r="O62" s="995"/>
      <c r="P62" s="995"/>
      <c r="Q62" s="995"/>
      <c r="R62" s="995"/>
      <c r="S62" s="995"/>
      <c r="T62" s="995"/>
      <c r="U62" s="995"/>
      <c r="V62" s="995"/>
      <c r="W62" s="995"/>
      <c r="X62" s="995"/>
      <c r="Y62" s="995"/>
      <c r="Z62" s="995"/>
      <c r="AA62" s="995"/>
      <c r="AB62" s="995"/>
      <c r="AC62" s="995"/>
      <c r="AD62" s="995"/>
      <c r="AE62" s="995"/>
      <c r="AF62" s="995"/>
    </row>
    <row r="63" spans="2:32" ht="11.25">
      <c r="B63" s="995"/>
      <c r="C63" s="995"/>
      <c r="D63" s="995"/>
      <c r="E63" s="995"/>
      <c r="F63" s="995"/>
      <c r="G63" s="995"/>
      <c r="H63" s="995"/>
      <c r="I63" s="995"/>
      <c r="J63" s="995"/>
      <c r="K63" s="995"/>
      <c r="L63" s="995"/>
      <c r="M63" s="995"/>
      <c r="N63" s="995"/>
      <c r="O63" s="995"/>
      <c r="P63" s="995"/>
      <c r="Q63" s="995"/>
      <c r="R63" s="995"/>
      <c r="S63" s="995"/>
      <c r="T63" s="995"/>
      <c r="U63" s="995"/>
      <c r="V63" s="995"/>
      <c r="W63" s="995"/>
      <c r="X63" s="995"/>
      <c r="Y63" s="995"/>
      <c r="Z63" s="995"/>
      <c r="AA63" s="995"/>
      <c r="AB63" s="995"/>
      <c r="AC63" s="995"/>
      <c r="AD63" s="995"/>
      <c r="AE63" s="995"/>
      <c r="AF63" s="995"/>
    </row>
    <row r="64" spans="2:32" ht="11.25">
      <c r="B64" s="995"/>
      <c r="C64" s="995"/>
      <c r="D64" s="995"/>
      <c r="E64" s="995"/>
      <c r="F64" s="995"/>
      <c r="G64" s="995"/>
      <c r="H64" s="995"/>
      <c r="I64" s="995"/>
      <c r="J64" s="995"/>
      <c r="K64" s="995"/>
      <c r="L64" s="995"/>
      <c r="M64" s="995"/>
      <c r="N64" s="995"/>
      <c r="O64" s="995"/>
      <c r="P64" s="995"/>
      <c r="Q64" s="995"/>
      <c r="R64" s="995"/>
      <c r="S64" s="995"/>
      <c r="T64" s="995"/>
      <c r="U64" s="995"/>
      <c r="V64" s="995"/>
      <c r="W64" s="995"/>
      <c r="X64" s="995"/>
      <c r="Y64" s="995"/>
      <c r="Z64" s="995"/>
      <c r="AA64" s="995"/>
      <c r="AB64" s="995"/>
      <c r="AC64" s="995"/>
      <c r="AD64" s="995"/>
      <c r="AE64" s="995"/>
      <c r="AF64" s="995"/>
    </row>
    <row r="65" spans="2:32" ht="11.25">
      <c r="B65" s="995"/>
      <c r="C65" s="995"/>
      <c r="D65" s="995"/>
      <c r="E65" s="995"/>
      <c r="F65" s="995"/>
      <c r="G65" s="995"/>
      <c r="H65" s="995"/>
      <c r="I65" s="995"/>
      <c r="J65" s="995"/>
      <c r="K65" s="995"/>
      <c r="L65" s="995"/>
      <c r="M65" s="995"/>
      <c r="N65" s="995"/>
      <c r="O65" s="995"/>
      <c r="P65" s="995"/>
      <c r="Q65" s="995"/>
      <c r="R65" s="995"/>
      <c r="S65" s="995"/>
      <c r="T65" s="995"/>
      <c r="U65" s="995"/>
      <c r="V65" s="995"/>
      <c r="W65" s="995"/>
      <c r="X65" s="995"/>
      <c r="Y65" s="995"/>
      <c r="Z65" s="995"/>
      <c r="AA65" s="995"/>
      <c r="AB65" s="995"/>
      <c r="AC65" s="995"/>
      <c r="AD65" s="995"/>
      <c r="AE65" s="995"/>
      <c r="AF65" s="995"/>
    </row>
    <row r="66" spans="2:32" ht="11.25">
      <c r="B66" s="995"/>
      <c r="C66" s="995"/>
      <c r="D66" s="995"/>
      <c r="E66" s="995"/>
      <c r="F66" s="995"/>
      <c r="G66" s="995"/>
      <c r="H66" s="995"/>
      <c r="I66" s="995"/>
      <c r="J66" s="995"/>
      <c r="K66" s="995"/>
      <c r="L66" s="995"/>
      <c r="M66" s="995"/>
      <c r="N66" s="995"/>
      <c r="O66" s="995"/>
      <c r="P66" s="995"/>
      <c r="Q66" s="995"/>
      <c r="R66" s="995"/>
      <c r="S66" s="995"/>
      <c r="T66" s="995"/>
      <c r="U66" s="995"/>
      <c r="V66" s="995"/>
      <c r="W66" s="995"/>
      <c r="X66" s="995"/>
      <c r="Y66" s="995"/>
      <c r="Z66" s="995"/>
      <c r="AA66" s="995"/>
      <c r="AB66" s="995"/>
      <c r="AC66" s="995"/>
      <c r="AD66" s="995"/>
      <c r="AE66" s="995"/>
      <c r="AF66" s="995"/>
    </row>
    <row r="67" spans="2:32" ht="11.25">
      <c r="B67" s="995"/>
      <c r="C67" s="995"/>
      <c r="D67" s="995"/>
      <c r="E67" s="995"/>
      <c r="F67" s="995"/>
      <c r="G67" s="995"/>
      <c r="H67" s="995"/>
      <c r="I67" s="995"/>
      <c r="J67" s="995"/>
      <c r="K67" s="995"/>
      <c r="L67" s="995"/>
      <c r="M67" s="995"/>
      <c r="N67" s="995"/>
      <c r="O67" s="995"/>
      <c r="P67" s="995"/>
      <c r="Q67" s="995"/>
      <c r="R67" s="995"/>
      <c r="S67" s="995"/>
      <c r="T67" s="995"/>
      <c r="U67" s="995"/>
      <c r="V67" s="995"/>
      <c r="W67" s="995"/>
      <c r="X67" s="995"/>
      <c r="Y67" s="995"/>
      <c r="Z67" s="995"/>
      <c r="AA67" s="995"/>
      <c r="AB67" s="995"/>
      <c r="AC67" s="995"/>
      <c r="AD67" s="995"/>
      <c r="AE67" s="995"/>
      <c r="AF67" s="995"/>
    </row>
    <row r="68" spans="2:32" ht="11.25">
      <c r="B68" s="995"/>
      <c r="C68" s="995"/>
      <c r="D68" s="995"/>
      <c r="E68" s="995"/>
      <c r="F68" s="995"/>
      <c r="G68" s="995"/>
      <c r="H68" s="995"/>
      <c r="I68" s="995"/>
      <c r="J68" s="995"/>
      <c r="K68" s="995"/>
      <c r="L68" s="995"/>
      <c r="M68" s="995"/>
      <c r="N68" s="995"/>
      <c r="O68" s="995"/>
      <c r="P68" s="995"/>
      <c r="Q68" s="995"/>
      <c r="R68" s="995"/>
      <c r="S68" s="995"/>
      <c r="T68" s="995"/>
      <c r="U68" s="995"/>
      <c r="V68" s="995"/>
      <c r="W68" s="995"/>
      <c r="X68" s="995"/>
      <c r="Y68" s="995"/>
      <c r="Z68" s="995"/>
      <c r="AA68" s="995"/>
      <c r="AB68" s="995"/>
      <c r="AC68" s="995"/>
      <c r="AD68" s="995"/>
      <c r="AE68" s="995"/>
      <c r="AF68" s="995"/>
    </row>
    <row r="69" spans="2:32" ht="11.25">
      <c r="B69" s="995"/>
      <c r="C69" s="995"/>
      <c r="D69" s="995"/>
      <c r="E69" s="995"/>
      <c r="F69" s="995"/>
      <c r="G69" s="995"/>
      <c r="H69" s="995"/>
      <c r="I69" s="995"/>
      <c r="J69" s="995"/>
      <c r="K69" s="995"/>
      <c r="L69" s="995"/>
      <c r="M69" s="995"/>
      <c r="N69" s="995"/>
      <c r="O69" s="995"/>
      <c r="P69" s="995"/>
      <c r="Q69" s="995"/>
      <c r="R69" s="995"/>
      <c r="S69" s="995"/>
      <c r="T69" s="995"/>
      <c r="U69" s="995"/>
      <c r="V69" s="995"/>
      <c r="W69" s="995"/>
      <c r="X69" s="995"/>
      <c r="Y69" s="995"/>
      <c r="Z69" s="995"/>
      <c r="AA69" s="995"/>
      <c r="AB69" s="995"/>
      <c r="AC69" s="995"/>
      <c r="AD69" s="995"/>
      <c r="AE69" s="995"/>
      <c r="AF69" s="995"/>
    </row>
    <row r="70" spans="2:32" ht="11.25">
      <c r="B70" s="995"/>
      <c r="C70" s="995"/>
      <c r="D70" s="995"/>
      <c r="E70" s="995"/>
      <c r="F70" s="995"/>
      <c r="G70" s="995"/>
      <c r="H70" s="995"/>
      <c r="I70" s="995"/>
      <c r="J70" s="995"/>
      <c r="K70" s="995"/>
      <c r="L70" s="995"/>
      <c r="M70" s="995"/>
      <c r="N70" s="995"/>
      <c r="O70" s="995"/>
      <c r="P70" s="995"/>
      <c r="Q70" s="995"/>
      <c r="R70" s="995"/>
      <c r="S70" s="995"/>
      <c r="T70" s="995"/>
      <c r="U70" s="995"/>
      <c r="V70" s="995"/>
      <c r="W70" s="995"/>
      <c r="X70" s="995"/>
      <c r="Y70" s="995"/>
      <c r="Z70" s="995"/>
      <c r="AA70" s="995"/>
      <c r="AB70" s="995"/>
      <c r="AC70" s="995"/>
      <c r="AD70" s="995"/>
      <c r="AE70" s="995"/>
      <c r="AF70" s="995"/>
    </row>
    <row r="71" spans="2:32" ht="11.25">
      <c r="B71" s="995"/>
      <c r="C71" s="995"/>
      <c r="D71" s="995"/>
      <c r="E71" s="995"/>
      <c r="F71" s="995"/>
      <c r="G71" s="995"/>
      <c r="H71" s="995"/>
      <c r="I71" s="995"/>
      <c r="J71" s="995"/>
      <c r="K71" s="995"/>
      <c r="L71" s="995"/>
      <c r="M71" s="995"/>
      <c r="N71" s="995"/>
      <c r="O71" s="995"/>
      <c r="P71" s="995"/>
      <c r="Q71" s="995"/>
      <c r="R71" s="995"/>
      <c r="S71" s="995"/>
      <c r="T71" s="995"/>
      <c r="U71" s="995"/>
      <c r="V71" s="995"/>
      <c r="W71" s="995"/>
      <c r="X71" s="995"/>
      <c r="Y71" s="995"/>
      <c r="Z71" s="995"/>
      <c r="AA71" s="995"/>
      <c r="AB71" s="995"/>
      <c r="AC71" s="995"/>
      <c r="AD71" s="995"/>
      <c r="AE71" s="995"/>
      <c r="AF71" s="995"/>
    </row>
  </sheetData>
  <sheetProtection/>
  <mergeCells count="5">
    <mergeCell ref="B49:AF49"/>
    <mergeCell ref="B2:AF2"/>
    <mergeCell ref="B3:AF3"/>
    <mergeCell ref="B47:AF47"/>
    <mergeCell ref="B48:AF48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1">
    <pageSetUpPr fitToPage="1"/>
  </sheetPr>
  <dimension ref="A1:AF50"/>
  <sheetViews>
    <sheetView zoomScalePageLayoutView="0" workbookViewId="0" topLeftCell="A10">
      <selection activeCell="AK41" sqref="A39:AK41"/>
    </sheetView>
  </sheetViews>
  <sheetFormatPr defaultColWidth="9.140625" defaultRowHeight="12.75"/>
  <cols>
    <col min="1" max="1" width="3.7109375" style="3" customWidth="1"/>
    <col min="2" max="2" width="4.421875" style="3" customWidth="1"/>
    <col min="3" max="12" width="6.7109375" style="2" customWidth="1"/>
    <col min="13" max="13" width="6.57421875" style="2" customWidth="1"/>
    <col min="14" max="20" width="6.7109375" style="2" customWidth="1"/>
    <col min="21" max="25" width="7.28125" style="2" customWidth="1"/>
    <col min="26" max="28" width="7.00390625" style="3" customWidth="1"/>
    <col min="29" max="29" width="7.00390625" style="903" customWidth="1"/>
    <col min="30" max="31" width="7.00390625" style="3" customWidth="1"/>
    <col min="32" max="32" width="4.7109375" style="3" customWidth="1"/>
    <col min="33" max="16384" width="9.140625" style="3" customWidth="1"/>
  </cols>
  <sheetData>
    <row r="1" spans="2:32" ht="14.25" customHeight="1">
      <c r="B1" s="1023"/>
      <c r="C1" s="1023"/>
      <c r="D1" s="89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T1" s="39"/>
      <c r="AF1" s="39" t="s">
        <v>148</v>
      </c>
    </row>
    <row r="2" spans="2:32" s="61" customFormat="1" ht="30" customHeight="1">
      <c r="B2" s="1024" t="s">
        <v>13</v>
      </c>
      <c r="C2" s="1024"/>
      <c r="D2" s="1024"/>
      <c r="E2" s="1024"/>
      <c r="F2" s="1024"/>
      <c r="G2" s="1024"/>
      <c r="H2" s="1024"/>
      <c r="I2" s="1024"/>
      <c r="J2" s="1024"/>
      <c r="K2" s="1024"/>
      <c r="L2" s="1024"/>
      <c r="M2" s="1024"/>
      <c r="N2" s="1024"/>
      <c r="O2" s="1024"/>
      <c r="P2" s="1024"/>
      <c r="Q2" s="1024"/>
      <c r="R2" s="1024"/>
      <c r="S2" s="1024"/>
      <c r="T2" s="1024"/>
      <c r="U2" s="1024"/>
      <c r="V2" s="1024"/>
      <c r="W2" s="1024"/>
      <c r="X2" s="1024"/>
      <c r="Y2" s="1024"/>
      <c r="Z2" s="1024"/>
      <c r="AA2" s="1024"/>
      <c r="AB2" s="1024"/>
      <c r="AC2" s="1024"/>
      <c r="AD2" s="1024"/>
      <c r="AE2" s="1024"/>
      <c r="AF2" s="1024"/>
    </row>
    <row r="3" spans="2:32" ht="15" customHeight="1">
      <c r="B3" s="1034" t="s">
        <v>112</v>
      </c>
      <c r="C3" s="1034"/>
      <c r="D3" s="1034"/>
      <c r="E3" s="1034"/>
      <c r="F3" s="1034"/>
      <c r="G3" s="1034"/>
      <c r="H3" s="1034"/>
      <c r="I3" s="1034"/>
      <c r="J3" s="1034"/>
      <c r="K3" s="1034"/>
      <c r="L3" s="1034"/>
      <c r="M3" s="1034"/>
      <c r="N3" s="1034"/>
      <c r="O3" s="1034"/>
      <c r="P3" s="1034"/>
      <c r="Q3" s="1034"/>
      <c r="R3" s="1034"/>
      <c r="S3" s="1034"/>
      <c r="T3" s="1034"/>
      <c r="U3" s="1034"/>
      <c r="V3" s="1034"/>
      <c r="W3" s="1034"/>
      <c r="X3" s="1034"/>
      <c r="Y3" s="1034"/>
      <c r="Z3" s="1034"/>
      <c r="AA3" s="1034"/>
      <c r="AB3" s="1034"/>
      <c r="AC3" s="1034"/>
      <c r="AD3" s="1034"/>
      <c r="AE3" s="1034"/>
      <c r="AF3" s="1034"/>
    </row>
    <row r="4" spans="2:32" ht="12.75" customHeight="1">
      <c r="B4" s="4"/>
      <c r="C4" s="4"/>
      <c r="E4" s="192"/>
      <c r="F4" s="192"/>
      <c r="G4" s="192"/>
      <c r="H4" s="192"/>
      <c r="I4" s="192"/>
      <c r="J4" s="23"/>
      <c r="K4" s="23"/>
      <c r="L4" s="23"/>
      <c r="M4" s="23"/>
      <c r="N4" s="23"/>
      <c r="O4" s="23"/>
      <c r="W4" s="35"/>
      <c r="X4" s="35" t="s">
        <v>3</v>
      </c>
      <c r="Y4" s="62"/>
      <c r="AF4" s="40"/>
    </row>
    <row r="5" spans="2:32" ht="19.5" customHeight="1">
      <c r="B5" s="4"/>
      <c r="C5" s="97">
        <v>1970</v>
      </c>
      <c r="D5" s="113">
        <v>1980</v>
      </c>
      <c r="E5" s="97">
        <v>1990</v>
      </c>
      <c r="F5" s="98">
        <v>1991</v>
      </c>
      <c r="G5" s="98">
        <v>1992</v>
      </c>
      <c r="H5" s="98">
        <v>1993</v>
      </c>
      <c r="I5" s="98">
        <v>1994</v>
      </c>
      <c r="J5" s="98">
        <v>1995</v>
      </c>
      <c r="K5" s="98">
        <v>1996</v>
      </c>
      <c r="L5" s="98">
        <v>1997</v>
      </c>
      <c r="M5" s="98">
        <v>1998</v>
      </c>
      <c r="N5" s="98">
        <v>1999</v>
      </c>
      <c r="O5" s="98">
        <v>2000</v>
      </c>
      <c r="P5" s="98">
        <v>2001</v>
      </c>
      <c r="Q5" s="98">
        <v>2002</v>
      </c>
      <c r="R5" s="98">
        <v>2003</v>
      </c>
      <c r="S5" s="98">
        <v>2004</v>
      </c>
      <c r="T5" s="98">
        <v>2005</v>
      </c>
      <c r="U5" s="98">
        <v>2006</v>
      </c>
      <c r="V5" s="98">
        <v>2007</v>
      </c>
      <c r="W5" s="98">
        <v>2008</v>
      </c>
      <c r="X5" s="98">
        <v>2009</v>
      </c>
      <c r="Y5" s="98">
        <v>2010</v>
      </c>
      <c r="Z5" s="98">
        <v>2011</v>
      </c>
      <c r="AA5" s="98">
        <v>2012</v>
      </c>
      <c r="AB5" s="888">
        <v>2013</v>
      </c>
      <c r="AC5" s="98">
        <v>2014</v>
      </c>
      <c r="AD5" s="193">
        <v>2015</v>
      </c>
      <c r="AE5" s="180" t="s">
        <v>258</v>
      </c>
      <c r="AF5" s="6"/>
    </row>
    <row r="6" spans="2:32" ht="9.75" customHeight="1">
      <c r="B6" s="4"/>
      <c r="C6" s="142"/>
      <c r="D6" s="114"/>
      <c r="E6" s="142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409"/>
      <c r="Z6" s="411"/>
      <c r="AA6" s="411"/>
      <c r="AB6" s="409"/>
      <c r="AC6" s="409"/>
      <c r="AD6" s="181"/>
      <c r="AE6" s="181" t="s">
        <v>104</v>
      </c>
      <c r="AF6" s="6"/>
    </row>
    <row r="7" spans="2:32" ht="12.75" customHeight="1">
      <c r="B7" s="390" t="s">
        <v>222</v>
      </c>
      <c r="C7" s="908"/>
      <c r="D7" s="194"/>
      <c r="E7" s="195">
        <f aca="true" t="shared" si="0" ref="E7:Y7">SUM(E10:E37)</f>
        <v>740.3060000000002</v>
      </c>
      <c r="F7" s="195">
        <f t="shared" si="0"/>
        <v>736.8475333333331</v>
      </c>
      <c r="G7" s="195">
        <f t="shared" si="0"/>
        <v>741.9200666666666</v>
      </c>
      <c r="H7" s="195">
        <f t="shared" si="0"/>
        <v>748.0005999999998</v>
      </c>
      <c r="I7" s="195">
        <f t="shared" si="0"/>
        <v>752.1808000000001</v>
      </c>
      <c r="J7" s="183">
        <f t="shared" si="0"/>
        <v>754.02</v>
      </c>
      <c r="K7" s="183">
        <f t="shared" si="0"/>
        <v>761.125</v>
      </c>
      <c r="L7" s="183">
        <f t="shared" si="0"/>
        <v>759.501</v>
      </c>
      <c r="M7" s="183">
        <f t="shared" si="0"/>
        <v>759.2550000000001</v>
      </c>
      <c r="N7" s="183">
        <f t="shared" si="0"/>
        <v>764.2699999999999</v>
      </c>
      <c r="O7" s="183">
        <f t="shared" si="0"/>
        <v>775.753</v>
      </c>
      <c r="P7" s="183">
        <f t="shared" si="0"/>
        <v>782.8399999999999</v>
      </c>
      <c r="Q7" s="183">
        <f t="shared" si="0"/>
        <v>793.544</v>
      </c>
      <c r="R7" s="183">
        <f t="shared" si="0"/>
        <v>799.784</v>
      </c>
      <c r="S7" s="195">
        <f t="shared" si="0"/>
        <v>793.4550000000002</v>
      </c>
      <c r="T7" s="195">
        <f t="shared" si="0"/>
        <v>788.114</v>
      </c>
      <c r="U7" s="183">
        <f t="shared" si="0"/>
        <v>783.5360000000002</v>
      </c>
      <c r="V7" s="183">
        <f t="shared" si="0"/>
        <v>788.5060000000002</v>
      </c>
      <c r="W7" s="183">
        <f t="shared" si="0"/>
        <v>809.8269999999999</v>
      </c>
      <c r="X7" s="183">
        <f t="shared" si="0"/>
        <v>814.749</v>
      </c>
      <c r="Y7" s="183">
        <f t="shared" si="0"/>
        <v>813.711</v>
      </c>
      <c r="Z7" s="183">
        <v>813.1820000000001</v>
      </c>
      <c r="AA7" s="183">
        <v>812.3039999999999</v>
      </c>
      <c r="AB7" s="891">
        <v>815.6949999999999</v>
      </c>
      <c r="AC7" s="183">
        <v>817.5409999999999</v>
      </c>
      <c r="AD7" s="534">
        <v>831.182</v>
      </c>
      <c r="AE7" s="194">
        <f aca="true" t="shared" si="1" ref="AE7:AE46">AD7/AC7*100-100</f>
        <v>1.6685401710739995</v>
      </c>
      <c r="AF7" s="390" t="s">
        <v>222</v>
      </c>
    </row>
    <row r="8" spans="2:32" ht="12.75" customHeight="1">
      <c r="B8" s="391" t="s">
        <v>227</v>
      </c>
      <c r="C8" s="196">
        <f>SUM(C10,C13:C14,C16,C17:C21,C25,C28:C29,C31,C35:C37)</f>
        <v>331.638</v>
      </c>
      <c r="D8" s="196">
        <f>SUM(D10,D13:D14,D16,D17:D21,D25,D28:D29,D31,D35:D37)</f>
        <v>435.08299999999997</v>
      </c>
      <c r="E8" s="197">
        <f aca="true" t="shared" si="2" ref="E8:Y8">SUM(E10,E13:E14,E16,E17:E19,E25,E28:E29,E31,E35:E37)+E21</f>
        <v>476.38100000000003</v>
      </c>
      <c r="F8" s="197">
        <f t="shared" si="2"/>
        <v>475.87300000000005</v>
      </c>
      <c r="G8" s="197">
        <f t="shared" si="2"/>
        <v>477.6940000000001</v>
      </c>
      <c r="H8" s="197">
        <f t="shared" si="2"/>
        <v>480.04099999999994</v>
      </c>
      <c r="I8" s="197">
        <f t="shared" si="2"/>
        <v>481.21799999999996</v>
      </c>
      <c r="J8" s="185">
        <f t="shared" si="2"/>
        <v>480.86799999999994</v>
      </c>
      <c r="K8" s="185">
        <f t="shared" si="2"/>
        <v>491.6979999999999</v>
      </c>
      <c r="L8" s="185">
        <f t="shared" si="2"/>
        <v>493.44199999999995</v>
      </c>
      <c r="M8" s="185">
        <f t="shared" si="2"/>
        <v>500.539</v>
      </c>
      <c r="N8" s="185">
        <f t="shared" si="2"/>
        <v>508.57499999999993</v>
      </c>
      <c r="O8" s="185">
        <f t="shared" si="2"/>
        <v>517.5469999999999</v>
      </c>
      <c r="P8" s="185">
        <f t="shared" si="2"/>
        <v>524.848</v>
      </c>
      <c r="Q8" s="185">
        <f t="shared" si="2"/>
        <v>531.563</v>
      </c>
      <c r="R8" s="185">
        <f t="shared" si="2"/>
        <v>537.136</v>
      </c>
      <c r="S8" s="197">
        <f t="shared" si="2"/>
        <v>541.576</v>
      </c>
      <c r="T8" s="197">
        <f t="shared" si="2"/>
        <v>541.4429999999999</v>
      </c>
      <c r="U8" s="185">
        <f t="shared" si="2"/>
        <v>546.0590000000001</v>
      </c>
      <c r="V8" s="185">
        <f t="shared" si="2"/>
        <v>552.0310000000001</v>
      </c>
      <c r="W8" s="185">
        <f t="shared" si="2"/>
        <v>559.905</v>
      </c>
      <c r="X8" s="185">
        <f t="shared" si="2"/>
        <v>565.537</v>
      </c>
      <c r="Y8" s="185">
        <f t="shared" si="2"/>
        <v>568.1239999999999</v>
      </c>
      <c r="Z8" s="185">
        <v>566.15</v>
      </c>
      <c r="AA8" s="185">
        <v>565.449</v>
      </c>
      <c r="AB8" s="185">
        <v>565.2360000000001</v>
      </c>
      <c r="AC8" s="185">
        <v>567.6510000000001</v>
      </c>
      <c r="AD8" s="535">
        <v>572.792</v>
      </c>
      <c r="AE8" s="196">
        <f t="shared" si="1"/>
        <v>0.9056621057656855</v>
      </c>
      <c r="AF8" s="391" t="s">
        <v>227</v>
      </c>
    </row>
    <row r="9" spans="2:32" ht="12.75" customHeight="1">
      <c r="B9" s="392" t="s">
        <v>231</v>
      </c>
      <c r="C9" s="198"/>
      <c r="D9" s="198"/>
      <c r="E9" s="187">
        <f aca="true" t="shared" si="3" ref="E9:Y9">E7-E8</f>
        <v>263.9250000000001</v>
      </c>
      <c r="F9" s="439">
        <f t="shared" si="3"/>
        <v>260.97453333333306</v>
      </c>
      <c r="G9" s="439">
        <f t="shared" si="3"/>
        <v>264.2260666666665</v>
      </c>
      <c r="H9" s="439">
        <f t="shared" si="3"/>
        <v>267.9595999999999</v>
      </c>
      <c r="I9" s="439">
        <f t="shared" si="3"/>
        <v>270.96280000000013</v>
      </c>
      <c r="J9" s="187">
        <f t="shared" si="3"/>
        <v>273.15200000000004</v>
      </c>
      <c r="K9" s="187">
        <f t="shared" si="3"/>
        <v>269.4270000000001</v>
      </c>
      <c r="L9" s="187">
        <f t="shared" si="3"/>
        <v>266.059</v>
      </c>
      <c r="M9" s="187">
        <f t="shared" si="3"/>
        <v>258.7160000000001</v>
      </c>
      <c r="N9" s="187">
        <f t="shared" si="3"/>
        <v>255.69499999999994</v>
      </c>
      <c r="O9" s="187">
        <f t="shared" si="3"/>
        <v>258.20600000000013</v>
      </c>
      <c r="P9" s="187">
        <f t="shared" si="3"/>
        <v>257.99199999999996</v>
      </c>
      <c r="Q9" s="187">
        <f t="shared" si="3"/>
        <v>261.981</v>
      </c>
      <c r="R9" s="187">
        <f t="shared" si="3"/>
        <v>262.648</v>
      </c>
      <c r="S9" s="187">
        <f t="shared" si="3"/>
        <v>251.87900000000013</v>
      </c>
      <c r="T9" s="187">
        <f t="shared" si="3"/>
        <v>246.67100000000016</v>
      </c>
      <c r="U9" s="187">
        <f t="shared" si="3"/>
        <v>237.4770000000001</v>
      </c>
      <c r="V9" s="187">
        <f t="shared" si="3"/>
        <v>236.47500000000014</v>
      </c>
      <c r="W9" s="187">
        <f t="shared" si="3"/>
        <v>249.9219999999999</v>
      </c>
      <c r="X9" s="187">
        <f t="shared" si="3"/>
        <v>249.212</v>
      </c>
      <c r="Y9" s="187">
        <f t="shared" si="3"/>
        <v>245.5870000000001</v>
      </c>
      <c r="Z9" s="187">
        <v>247.03200000000015</v>
      </c>
      <c r="AA9" s="187">
        <v>246.8549999999999</v>
      </c>
      <c r="AB9" s="187">
        <v>250.45899999999983</v>
      </c>
      <c r="AC9" s="187">
        <v>249.88999999999987</v>
      </c>
      <c r="AD9" s="199">
        <v>258.39</v>
      </c>
      <c r="AE9" s="198">
        <f t="shared" si="1"/>
        <v>3.401496658529794</v>
      </c>
      <c r="AF9" s="392" t="s">
        <v>231</v>
      </c>
    </row>
    <row r="10" spans="1:32" ht="12.75" customHeight="1">
      <c r="A10" s="8"/>
      <c r="B10" s="10" t="s">
        <v>62</v>
      </c>
      <c r="C10" s="912">
        <v>16.169</v>
      </c>
      <c r="D10" s="912">
        <v>17.176</v>
      </c>
      <c r="E10" s="140">
        <v>15.644</v>
      </c>
      <c r="F10" s="140">
        <v>15.378</v>
      </c>
      <c r="G10" s="140">
        <v>15.004</v>
      </c>
      <c r="H10" s="140">
        <v>14.982</v>
      </c>
      <c r="I10" s="140">
        <v>14.85</v>
      </c>
      <c r="J10" s="140">
        <v>14.646</v>
      </c>
      <c r="K10" s="140">
        <v>14.684</v>
      </c>
      <c r="L10" s="140">
        <v>14.667</v>
      </c>
      <c r="M10" s="140">
        <v>14.588</v>
      </c>
      <c r="N10" s="140">
        <v>14.673</v>
      </c>
      <c r="O10" s="140">
        <v>14.722</v>
      </c>
      <c r="P10" s="140">
        <v>14.676</v>
      </c>
      <c r="Q10" s="140">
        <v>14.769</v>
      </c>
      <c r="R10" s="140">
        <v>15.06</v>
      </c>
      <c r="S10" s="140">
        <v>15.328</v>
      </c>
      <c r="T10" s="140">
        <v>15.391</v>
      </c>
      <c r="U10" s="140">
        <v>15.329</v>
      </c>
      <c r="V10" s="140">
        <v>15.466</v>
      </c>
      <c r="W10" s="140">
        <v>15.997</v>
      </c>
      <c r="X10" s="140">
        <v>16.059</v>
      </c>
      <c r="Y10" s="140">
        <v>16.224</v>
      </c>
      <c r="Z10" s="140">
        <v>16.089</v>
      </c>
      <c r="AA10" s="140">
        <v>15.984</v>
      </c>
      <c r="AB10" s="140">
        <v>16.261</v>
      </c>
      <c r="AC10" s="140">
        <v>16.767</v>
      </c>
      <c r="AD10" s="207">
        <v>17.064</v>
      </c>
      <c r="AE10" s="154">
        <f t="shared" si="1"/>
        <v>1.771336553945261</v>
      </c>
      <c r="AF10" s="393" t="s">
        <v>62</v>
      </c>
    </row>
    <row r="11" spans="1:32" ht="12.75" customHeight="1">
      <c r="A11" s="8"/>
      <c r="B11" s="184" t="s">
        <v>45</v>
      </c>
      <c r="C11" s="911"/>
      <c r="D11" s="911">
        <v>21</v>
      </c>
      <c r="E11" s="204">
        <f>33.8+0.8</f>
        <v>34.599999999999994</v>
      </c>
      <c r="F11" s="204">
        <f>35.6+0.8</f>
        <v>36.4</v>
      </c>
      <c r="G11" s="204">
        <f>37.1+0.8</f>
        <v>37.9</v>
      </c>
      <c r="H11" s="204">
        <f>39.3+0.8</f>
        <v>40.099999999999994</v>
      </c>
      <c r="I11" s="204">
        <v>41.432</v>
      </c>
      <c r="J11" s="204">
        <v>41.839</v>
      </c>
      <c r="K11" s="204">
        <v>41.642</v>
      </c>
      <c r="L11" s="204">
        <v>41.202</v>
      </c>
      <c r="M11" s="204">
        <v>42.264</v>
      </c>
      <c r="N11" s="204">
        <v>42.721</v>
      </c>
      <c r="O11" s="204">
        <v>43.005</v>
      </c>
      <c r="P11" s="204">
        <v>43.566</v>
      </c>
      <c r="Q11" s="204">
        <v>43.86</v>
      </c>
      <c r="R11" s="394">
        <v>44.3</v>
      </c>
      <c r="S11" s="204">
        <v>36.6</v>
      </c>
      <c r="T11" s="394">
        <v>37.8</v>
      </c>
      <c r="U11" s="204">
        <v>22.8</v>
      </c>
      <c r="V11" s="204">
        <v>23.9</v>
      </c>
      <c r="W11" s="204">
        <v>25.2</v>
      </c>
      <c r="X11" s="204">
        <v>25.1</v>
      </c>
      <c r="Y11" s="204">
        <v>24.5</v>
      </c>
      <c r="Z11" s="204">
        <v>23.651</v>
      </c>
      <c r="AA11" s="204">
        <v>23.289</v>
      </c>
      <c r="AB11" s="204">
        <v>23.3</v>
      </c>
      <c r="AC11" s="204">
        <v>23.6</v>
      </c>
      <c r="AD11" s="206">
        <v>24.1</v>
      </c>
      <c r="AE11" s="209">
        <f t="shared" si="1"/>
        <v>2.118644067796609</v>
      </c>
      <c r="AF11" s="391" t="s">
        <v>45</v>
      </c>
    </row>
    <row r="12" spans="1:32" ht="12.75" customHeight="1">
      <c r="A12" s="8"/>
      <c r="B12" s="10" t="s">
        <v>47</v>
      </c>
      <c r="C12" s="912"/>
      <c r="D12" s="912">
        <v>20.3</v>
      </c>
      <c r="E12" s="140">
        <v>20.474</v>
      </c>
      <c r="F12" s="438">
        <f>$E$12+($H$12-$E$12)/3</f>
        <v>20.050333333333334</v>
      </c>
      <c r="G12" s="438">
        <f>$E$12+($H$12-$E$12)/3*2</f>
        <v>19.626666666666665</v>
      </c>
      <c r="H12" s="140">
        <v>19.203</v>
      </c>
      <c r="I12" s="140">
        <f>19.071+0.685</f>
        <v>19.756</v>
      </c>
      <c r="J12" s="140">
        <f>19.756+0.718</f>
        <v>20.474</v>
      </c>
      <c r="K12" s="140">
        <f>20.489+0.711</f>
        <v>21.2</v>
      </c>
      <c r="L12" s="140">
        <f>20.755+0.721</f>
        <v>21.476</v>
      </c>
      <c r="M12" s="140">
        <f>19.96+0.708</f>
        <v>20.668</v>
      </c>
      <c r="N12" s="140">
        <f>18.981+0.721</f>
        <v>19.702</v>
      </c>
      <c r="O12" s="140">
        <f>18.259+0.727</f>
        <v>18.986</v>
      </c>
      <c r="P12" s="140">
        <f>18.384+0.739</f>
        <v>19.123</v>
      </c>
      <c r="Q12" s="140">
        <f>21.34+0.726</f>
        <v>22.066</v>
      </c>
      <c r="R12" s="140">
        <f>20.627+0.723</f>
        <v>21.349999999999998</v>
      </c>
      <c r="S12" s="140">
        <f>19.948+0.726</f>
        <v>20.674</v>
      </c>
      <c r="T12" s="140">
        <f>20.134+0.719</f>
        <v>20.853</v>
      </c>
      <c r="U12" s="140">
        <f>20.331+0.744</f>
        <v>21.075</v>
      </c>
      <c r="V12" s="140">
        <f>20.416+0.74</f>
        <v>21.156</v>
      </c>
      <c r="W12" s="140">
        <f>20.375+0.738</f>
        <v>21.113</v>
      </c>
      <c r="X12" s="140">
        <f>19.943+0.733</f>
        <v>20.676000000000002</v>
      </c>
      <c r="Y12" s="140">
        <f>19.653+0.735</f>
        <v>20.387999999999998</v>
      </c>
      <c r="Z12" s="140">
        <v>20.402</v>
      </c>
      <c r="AA12" s="140">
        <v>20.610000000000003</v>
      </c>
      <c r="AB12" s="140">
        <v>20.318</v>
      </c>
      <c r="AC12" s="140">
        <v>20.511</v>
      </c>
      <c r="AD12" s="207">
        <v>20.666999999999998</v>
      </c>
      <c r="AE12" s="156">
        <f t="shared" si="1"/>
        <v>0.7605675003656671</v>
      </c>
      <c r="AF12" s="393" t="s">
        <v>47</v>
      </c>
    </row>
    <row r="13" spans="1:32" ht="12.75" customHeight="1">
      <c r="A13" s="8"/>
      <c r="B13" s="184" t="s">
        <v>58</v>
      </c>
      <c r="C13" s="911">
        <v>5.039</v>
      </c>
      <c r="D13" s="911">
        <v>7.351</v>
      </c>
      <c r="E13" s="204">
        <v>8.109</v>
      </c>
      <c r="F13" s="204">
        <v>9.989</v>
      </c>
      <c r="G13" s="204">
        <v>11.259</v>
      </c>
      <c r="H13" s="204">
        <v>12.976</v>
      </c>
      <c r="I13" s="204">
        <v>13.614</v>
      </c>
      <c r="J13" s="204">
        <v>13.669</v>
      </c>
      <c r="K13" s="204">
        <v>13.786</v>
      </c>
      <c r="L13" s="204">
        <v>13.779</v>
      </c>
      <c r="M13" s="204">
        <v>13.911</v>
      </c>
      <c r="N13" s="204">
        <v>13.909</v>
      </c>
      <c r="O13" s="204">
        <v>13.968</v>
      </c>
      <c r="P13" s="204">
        <v>13.954</v>
      </c>
      <c r="Q13" s="204">
        <v>13.986</v>
      </c>
      <c r="R13" s="204">
        <v>14.132</v>
      </c>
      <c r="S13" s="204">
        <v>14.191</v>
      </c>
      <c r="T13" s="204">
        <v>14.402</v>
      </c>
      <c r="U13" s="204">
        <v>14.552</v>
      </c>
      <c r="V13" s="204">
        <v>14.482</v>
      </c>
      <c r="W13" s="204">
        <v>14.452</v>
      </c>
      <c r="X13" s="204">
        <f>14.51</f>
        <v>14.51</v>
      </c>
      <c r="Y13" s="204">
        <f>14.496</f>
        <v>14.496</v>
      </c>
      <c r="Z13" s="204">
        <v>14.014</v>
      </c>
      <c r="AA13" s="204">
        <v>13.485</v>
      </c>
      <c r="AB13" s="204">
        <v>13.27</v>
      </c>
      <c r="AC13" s="204">
        <v>13.408</v>
      </c>
      <c r="AD13" s="206">
        <v>13.383</v>
      </c>
      <c r="AE13" s="209">
        <f t="shared" si="1"/>
        <v>-0.1864558472553739</v>
      </c>
      <c r="AF13" s="391" t="s">
        <v>58</v>
      </c>
    </row>
    <row r="14" spans="1:32" ht="12.75" customHeight="1">
      <c r="A14" s="8"/>
      <c r="B14" s="10" t="s">
        <v>63</v>
      </c>
      <c r="C14" s="912">
        <v>63.939</v>
      </c>
      <c r="D14" s="912">
        <v>95.758</v>
      </c>
      <c r="E14" s="140">
        <v>100.37</v>
      </c>
      <c r="F14" s="140">
        <v>89.59</v>
      </c>
      <c r="G14" s="140">
        <v>88.433</v>
      </c>
      <c r="H14" s="140">
        <v>88.746</v>
      </c>
      <c r="I14" s="140">
        <v>87.421</v>
      </c>
      <c r="J14" s="140">
        <v>85.434</v>
      </c>
      <c r="K14" s="395">
        <v>84.654</v>
      </c>
      <c r="L14" s="140">
        <v>75.453</v>
      </c>
      <c r="M14" s="140">
        <v>75.594</v>
      </c>
      <c r="N14" s="140">
        <v>76.63</v>
      </c>
      <c r="O14" s="140">
        <v>77.183</v>
      </c>
      <c r="P14" s="140">
        <v>77.089</v>
      </c>
      <c r="Q14" s="140">
        <v>77.06</v>
      </c>
      <c r="R14" s="140">
        <v>76.664</v>
      </c>
      <c r="S14" s="140">
        <v>76.028</v>
      </c>
      <c r="T14" s="140">
        <v>75.203</v>
      </c>
      <c r="U14" s="140">
        <v>75.085</v>
      </c>
      <c r="V14" s="140">
        <v>75.068</v>
      </c>
      <c r="W14" s="140">
        <v>75.27</v>
      </c>
      <c r="X14" s="140">
        <v>76.433</v>
      </c>
      <c r="Y14" s="140">
        <f>76.463</f>
        <v>76.463</v>
      </c>
      <c r="Z14" s="140">
        <v>75.988</v>
      </c>
      <c r="AA14" s="140">
        <v>76.023</v>
      </c>
      <c r="AB14" s="140">
        <v>76.794</v>
      </c>
      <c r="AC14" s="140">
        <v>77.501</v>
      </c>
      <c r="AD14" s="207">
        <v>78.345</v>
      </c>
      <c r="AE14" s="156">
        <f t="shared" si="1"/>
        <v>1.0890182062166929</v>
      </c>
      <c r="AF14" s="393" t="s">
        <v>63</v>
      </c>
    </row>
    <row r="15" spans="1:32" ht="12.75" customHeight="1">
      <c r="A15" s="8"/>
      <c r="B15" s="184" t="s">
        <v>48</v>
      </c>
      <c r="C15" s="911"/>
      <c r="D15" s="911">
        <v>6.4</v>
      </c>
      <c r="E15" s="204">
        <v>7.9</v>
      </c>
      <c r="F15" s="204">
        <v>8.6</v>
      </c>
      <c r="G15" s="204">
        <v>8.4</v>
      </c>
      <c r="H15" s="204">
        <v>8.7</v>
      </c>
      <c r="I15" s="204">
        <v>6.3</v>
      </c>
      <c r="J15" s="204">
        <v>7</v>
      </c>
      <c r="K15" s="204">
        <v>6.7</v>
      </c>
      <c r="L15" s="204">
        <v>6.5</v>
      </c>
      <c r="M15" s="204">
        <v>6.3</v>
      </c>
      <c r="N15" s="204">
        <v>6.2</v>
      </c>
      <c r="O15" s="204">
        <v>6.1</v>
      </c>
      <c r="P15" s="204">
        <v>5.5</v>
      </c>
      <c r="Q15" s="204">
        <v>5.3</v>
      </c>
      <c r="R15" s="204">
        <v>5.4</v>
      </c>
      <c r="S15" s="204">
        <v>5.3</v>
      </c>
      <c r="T15" s="204">
        <v>5.194</v>
      </c>
      <c r="U15" s="394">
        <v>5.378</v>
      </c>
      <c r="V15" s="204">
        <v>4.31</v>
      </c>
      <c r="W15" s="204">
        <v>4.292</v>
      </c>
      <c r="X15" s="204">
        <v>4.117</v>
      </c>
      <c r="Y15" s="204">
        <v>4.167</v>
      </c>
      <c r="Z15" s="204">
        <v>4.156</v>
      </c>
      <c r="AA15" s="204">
        <v>4.311</v>
      </c>
      <c r="AB15" s="204">
        <v>4.5</v>
      </c>
      <c r="AC15" s="204">
        <v>4.6</v>
      </c>
      <c r="AD15" s="206">
        <v>4.8</v>
      </c>
      <c r="AE15" s="209">
        <f t="shared" si="1"/>
        <v>4.347826086956516</v>
      </c>
      <c r="AF15" s="391" t="s">
        <v>48</v>
      </c>
    </row>
    <row r="16" spans="1:32" ht="12.75" customHeight="1">
      <c r="A16" s="8"/>
      <c r="B16" s="10" t="s">
        <v>66</v>
      </c>
      <c r="C16" s="912">
        <v>2.012</v>
      </c>
      <c r="D16" s="912">
        <v>2.722</v>
      </c>
      <c r="E16" s="140">
        <v>4.047</v>
      </c>
      <c r="F16" s="140">
        <v>4.388</v>
      </c>
      <c r="G16" s="140">
        <v>4.557</v>
      </c>
      <c r="H16" s="140">
        <v>4.835</v>
      </c>
      <c r="I16" s="140">
        <v>4.985</v>
      </c>
      <c r="J16" s="140">
        <v>5.282</v>
      </c>
      <c r="K16" s="140">
        <v>5.535</v>
      </c>
      <c r="L16" s="140">
        <v>5.845</v>
      </c>
      <c r="M16" s="140">
        <v>6.096</v>
      </c>
      <c r="N16" s="140">
        <v>6.564</v>
      </c>
      <c r="O16" s="140">
        <v>6.957</v>
      </c>
      <c r="P16" s="140">
        <v>7.084</v>
      </c>
      <c r="Q16" s="140">
        <v>7.09</v>
      </c>
      <c r="R16" s="140">
        <v>7.392</v>
      </c>
      <c r="S16" s="140">
        <v>7.43</v>
      </c>
      <c r="T16" s="140">
        <v>7.625</v>
      </c>
      <c r="U16" s="140">
        <v>7.997</v>
      </c>
      <c r="V16" s="140">
        <v>8.451</v>
      </c>
      <c r="W16" s="140">
        <v>8.911</v>
      </c>
      <c r="X16" s="140">
        <f>8.556</f>
        <v>8.556</v>
      </c>
      <c r="Y16" s="140">
        <f>8.245</f>
        <v>8.245</v>
      </c>
      <c r="Z16" s="140">
        <v>8.276</v>
      </c>
      <c r="AA16" s="140">
        <v>8.266</v>
      </c>
      <c r="AB16" s="140">
        <v>8.488</v>
      </c>
      <c r="AC16" s="140">
        <v>8.802</v>
      </c>
      <c r="AD16" s="207">
        <v>9.259</v>
      </c>
      <c r="AE16" s="156">
        <f t="shared" si="1"/>
        <v>5.192001817768684</v>
      </c>
      <c r="AF16" s="393" t="s">
        <v>66</v>
      </c>
    </row>
    <row r="17" spans="1:32" ht="12.75" customHeight="1">
      <c r="A17" s="8"/>
      <c r="B17" s="184" t="s">
        <v>59</v>
      </c>
      <c r="C17" s="911">
        <v>10.546</v>
      </c>
      <c r="D17" s="911">
        <v>18.011</v>
      </c>
      <c r="E17" s="204">
        <v>21.43</v>
      </c>
      <c r="F17" s="204">
        <v>22.08</v>
      </c>
      <c r="G17" s="204">
        <v>22.674</v>
      </c>
      <c r="H17" s="204">
        <v>23.206</v>
      </c>
      <c r="I17" s="204">
        <v>23.54</v>
      </c>
      <c r="J17" s="204">
        <v>24.6</v>
      </c>
      <c r="K17" s="204">
        <v>25.096</v>
      </c>
      <c r="L17" s="204">
        <v>25.622</v>
      </c>
      <c r="M17" s="204">
        <v>26.32</v>
      </c>
      <c r="N17" s="204">
        <v>26.769</v>
      </c>
      <c r="O17" s="204">
        <v>27.037</v>
      </c>
      <c r="P17" s="204">
        <v>27.115</v>
      </c>
      <c r="Q17" s="204">
        <v>27.247</v>
      </c>
      <c r="R17" s="204">
        <v>27.139</v>
      </c>
      <c r="S17" s="204">
        <v>26.78</v>
      </c>
      <c r="T17" s="204">
        <v>26.829</v>
      </c>
      <c r="U17" s="204">
        <v>26.938</v>
      </c>
      <c r="V17" s="204">
        <v>27.102</v>
      </c>
      <c r="W17" s="204">
        <v>27.186</v>
      </c>
      <c r="X17" s="204">
        <v>27.324</v>
      </c>
      <c r="Y17" s="204">
        <v>27.311</v>
      </c>
      <c r="Z17" s="204">
        <v>27.121</v>
      </c>
      <c r="AA17" s="204">
        <v>26.962</v>
      </c>
      <c r="AB17" s="204">
        <v>26.783</v>
      </c>
      <c r="AC17" s="204">
        <v>26.586</v>
      </c>
      <c r="AD17" s="206">
        <v>26.541</v>
      </c>
      <c r="AE17" s="209">
        <f t="shared" si="1"/>
        <v>-0.16926201760324489</v>
      </c>
      <c r="AF17" s="391" t="s">
        <v>59</v>
      </c>
    </row>
    <row r="18" spans="1:32" ht="12.75" customHeight="1">
      <c r="A18" s="8"/>
      <c r="B18" s="10" t="s">
        <v>64</v>
      </c>
      <c r="C18" s="912">
        <v>30.728</v>
      </c>
      <c r="D18" s="912">
        <v>42.631</v>
      </c>
      <c r="E18" s="140">
        <v>45.767</v>
      </c>
      <c r="F18" s="140">
        <v>46.604</v>
      </c>
      <c r="G18" s="140">
        <v>47.18</v>
      </c>
      <c r="H18" s="140">
        <v>47.028</v>
      </c>
      <c r="I18" s="140">
        <v>47.088</v>
      </c>
      <c r="J18" s="140">
        <v>47.375</v>
      </c>
      <c r="K18" s="140">
        <v>48.405</v>
      </c>
      <c r="L18" s="140">
        <v>50.035</v>
      </c>
      <c r="M18" s="140">
        <v>51.805</v>
      </c>
      <c r="N18" s="140">
        <v>53.54</v>
      </c>
      <c r="O18" s="140">
        <v>54.732</v>
      </c>
      <c r="P18" s="140">
        <v>56.146</v>
      </c>
      <c r="Q18" s="140">
        <v>56.953</v>
      </c>
      <c r="R18" s="140">
        <v>55.993</v>
      </c>
      <c r="S18" s="140">
        <v>56.957</v>
      </c>
      <c r="T18" s="140">
        <v>58.248</v>
      </c>
      <c r="U18" s="140">
        <v>59.105</v>
      </c>
      <c r="V18" s="140">
        <v>61.039</v>
      </c>
      <c r="W18" s="140">
        <v>62.196</v>
      </c>
      <c r="X18" s="140">
        <v>62.663</v>
      </c>
      <c r="Y18" s="140">
        <v>62.445</v>
      </c>
      <c r="Z18" s="140">
        <v>62.358</v>
      </c>
      <c r="AA18" s="140">
        <v>61.127</v>
      </c>
      <c r="AB18" s="140">
        <v>59.892</v>
      </c>
      <c r="AC18" s="140">
        <v>59.799</v>
      </c>
      <c r="AD18" s="207">
        <v>60.252</v>
      </c>
      <c r="AE18" s="156">
        <f t="shared" si="1"/>
        <v>0.7575377514674244</v>
      </c>
      <c r="AF18" s="393" t="s">
        <v>64</v>
      </c>
    </row>
    <row r="19" spans="1:32" ht="12.75" customHeight="1">
      <c r="A19" s="8"/>
      <c r="B19" s="184" t="s">
        <v>65</v>
      </c>
      <c r="C19" s="911">
        <v>41</v>
      </c>
      <c r="D19" s="911">
        <v>59</v>
      </c>
      <c r="E19" s="204">
        <v>70</v>
      </c>
      <c r="F19" s="204">
        <v>76</v>
      </c>
      <c r="G19" s="204">
        <v>76</v>
      </c>
      <c r="H19" s="204">
        <v>76</v>
      </c>
      <c r="I19" s="204">
        <v>78</v>
      </c>
      <c r="J19" s="204">
        <v>79</v>
      </c>
      <c r="K19" s="204">
        <v>82</v>
      </c>
      <c r="L19" s="204">
        <v>82</v>
      </c>
      <c r="M19" s="204">
        <v>82</v>
      </c>
      <c r="N19" s="204">
        <v>80</v>
      </c>
      <c r="O19" s="204">
        <v>80</v>
      </c>
      <c r="P19" s="204">
        <v>81</v>
      </c>
      <c r="Q19" s="204">
        <v>81</v>
      </c>
      <c r="R19" s="204">
        <v>82</v>
      </c>
      <c r="S19" s="204">
        <v>82</v>
      </c>
      <c r="T19" s="204">
        <v>83</v>
      </c>
      <c r="U19" s="204">
        <v>83</v>
      </c>
      <c r="V19" s="204">
        <v>83</v>
      </c>
      <c r="W19" s="204">
        <v>84</v>
      </c>
      <c r="X19" s="204">
        <v>85</v>
      </c>
      <c r="Y19" s="204">
        <v>86</v>
      </c>
      <c r="Z19" s="204">
        <v>86</v>
      </c>
      <c r="AA19" s="204">
        <v>87</v>
      </c>
      <c r="AB19" s="204">
        <v>88</v>
      </c>
      <c r="AC19" s="204">
        <v>89</v>
      </c>
      <c r="AD19" s="206">
        <v>90</v>
      </c>
      <c r="AE19" s="209">
        <f t="shared" si="1"/>
        <v>1.1235955056179847</v>
      </c>
      <c r="AF19" s="391" t="s">
        <v>65</v>
      </c>
    </row>
    <row r="20" spans="1:32" ht="12.75" customHeight="1">
      <c r="A20" s="8"/>
      <c r="B20" s="10" t="s">
        <v>76</v>
      </c>
      <c r="C20" s="912"/>
      <c r="D20" s="912"/>
      <c r="E20" s="140">
        <v>5.836</v>
      </c>
      <c r="F20" s="140">
        <v>4.876</v>
      </c>
      <c r="G20" s="140">
        <v>4.104</v>
      </c>
      <c r="H20" s="140">
        <v>3.895</v>
      </c>
      <c r="I20" s="140">
        <v>4.026</v>
      </c>
      <c r="J20" s="140">
        <v>3.897</v>
      </c>
      <c r="K20" s="140">
        <v>4.596</v>
      </c>
      <c r="L20" s="140">
        <v>4.771</v>
      </c>
      <c r="M20" s="140">
        <v>4.814</v>
      </c>
      <c r="N20" s="140">
        <v>4.743</v>
      </c>
      <c r="O20" s="140">
        <v>4.66</v>
      </c>
      <c r="P20" s="140">
        <v>4.77</v>
      </c>
      <c r="Q20" s="140">
        <v>4.792</v>
      </c>
      <c r="R20" s="140">
        <v>4.833</v>
      </c>
      <c r="S20" s="140">
        <v>4.869</v>
      </c>
      <c r="T20" s="140">
        <v>4.851</v>
      </c>
      <c r="U20" s="140">
        <v>4.914</v>
      </c>
      <c r="V20" s="140">
        <v>5.043</v>
      </c>
      <c r="W20" s="140">
        <v>5.099</v>
      </c>
      <c r="X20" s="140">
        <v>5.071</v>
      </c>
      <c r="Y20" s="438">
        <v>4.877</v>
      </c>
      <c r="Z20" s="140">
        <v>4.841</v>
      </c>
      <c r="AA20" s="140">
        <v>4.655</v>
      </c>
      <c r="AB20" s="140">
        <v>4.789</v>
      </c>
      <c r="AC20" s="140">
        <v>5.04</v>
      </c>
      <c r="AD20" s="207">
        <v>5.276</v>
      </c>
      <c r="AE20" s="156">
        <f t="shared" si="1"/>
        <v>4.682539682539684</v>
      </c>
      <c r="AF20" s="393" t="s">
        <v>76</v>
      </c>
    </row>
    <row r="21" spans="1:32" ht="12.75" customHeight="1">
      <c r="A21" s="8"/>
      <c r="B21" s="184" t="s">
        <v>67</v>
      </c>
      <c r="C21" s="911">
        <v>32.899</v>
      </c>
      <c r="D21" s="911">
        <v>58.149</v>
      </c>
      <c r="E21" s="204">
        <v>77.731</v>
      </c>
      <c r="F21" s="204">
        <v>78</v>
      </c>
      <c r="G21" s="204">
        <v>78.179</v>
      </c>
      <c r="H21" s="204">
        <v>76.974</v>
      </c>
      <c r="I21" s="204">
        <v>76.076</v>
      </c>
      <c r="J21" s="204">
        <v>75.023</v>
      </c>
      <c r="K21" s="204">
        <v>78.183</v>
      </c>
      <c r="L21" s="204">
        <v>84.177</v>
      </c>
      <c r="M21" s="204">
        <v>84.822</v>
      </c>
      <c r="N21" s="204">
        <v>85.762</v>
      </c>
      <c r="O21" s="204">
        <v>87.956</v>
      </c>
      <c r="P21" s="204">
        <v>89.858</v>
      </c>
      <c r="Q21" s="204">
        <v>91.716</v>
      </c>
      <c r="R21" s="204">
        <v>92.701</v>
      </c>
      <c r="S21" s="204">
        <v>92.874</v>
      </c>
      <c r="T21" s="204">
        <v>94.437</v>
      </c>
      <c r="U21" s="204">
        <v>96.099</v>
      </c>
      <c r="V21" s="204">
        <v>96.419</v>
      </c>
      <c r="W21" s="204">
        <v>97.597</v>
      </c>
      <c r="X21" s="204">
        <v>98.724</v>
      </c>
      <c r="Y21" s="204">
        <v>99.895</v>
      </c>
      <c r="Z21" s="204">
        <v>100.438</v>
      </c>
      <c r="AA21" s="204">
        <v>99.537</v>
      </c>
      <c r="AB21" s="204">
        <v>98.551</v>
      </c>
      <c r="AC21" s="204">
        <v>97.914</v>
      </c>
      <c r="AD21" s="206">
        <v>97.991</v>
      </c>
      <c r="AE21" s="209">
        <f t="shared" si="1"/>
        <v>0.07864043956942623</v>
      </c>
      <c r="AF21" s="441" t="s">
        <v>67</v>
      </c>
    </row>
    <row r="22" spans="1:32" ht="12.75" customHeight="1">
      <c r="A22" s="8"/>
      <c r="B22" s="10" t="s">
        <v>46</v>
      </c>
      <c r="C22" s="912"/>
      <c r="D22" s="912">
        <v>1.6</v>
      </c>
      <c r="E22" s="140">
        <v>2.308</v>
      </c>
      <c r="F22" s="140">
        <v>2.176</v>
      </c>
      <c r="G22" s="140">
        <v>2.371</v>
      </c>
      <c r="H22" s="140">
        <v>2.438</v>
      </c>
      <c r="I22" s="140">
        <v>2.546</v>
      </c>
      <c r="J22" s="140">
        <v>2.67</v>
      </c>
      <c r="K22" s="140">
        <v>2.801</v>
      </c>
      <c r="L22" s="140">
        <v>2.8</v>
      </c>
      <c r="M22" s="140">
        <v>2.754</v>
      </c>
      <c r="N22" s="140">
        <v>2.835</v>
      </c>
      <c r="O22" s="140">
        <v>2.949</v>
      </c>
      <c r="P22" s="140">
        <v>3.003</v>
      </c>
      <c r="Q22" s="140">
        <v>2.997</v>
      </c>
      <c r="R22" s="140">
        <v>3.275</v>
      </c>
      <c r="S22" s="140">
        <v>3.199</v>
      </c>
      <c r="T22" s="140">
        <v>3.217</v>
      </c>
      <c r="U22" s="140">
        <v>3.221</v>
      </c>
      <c r="V22" s="140">
        <v>3.292</v>
      </c>
      <c r="W22" s="140">
        <v>3.402</v>
      </c>
      <c r="X22" s="140">
        <f>3.449</f>
        <v>3.449</v>
      </c>
      <c r="Y22" s="140">
        <v>3.403</v>
      </c>
      <c r="Z22" s="140">
        <v>3.461</v>
      </c>
      <c r="AA22" s="140">
        <v>3.557</v>
      </c>
      <c r="AB22" s="140">
        <v>3.495</v>
      </c>
      <c r="AC22" s="982">
        <v>2.581</v>
      </c>
      <c r="AD22" s="207">
        <v>2.712</v>
      </c>
      <c r="AE22" s="156">
        <f t="shared" si="1"/>
        <v>5.075552111584656</v>
      </c>
      <c r="AF22" s="393" t="s">
        <v>46</v>
      </c>
    </row>
    <row r="23" spans="1:32" ht="12.75" customHeight="1">
      <c r="A23" s="8"/>
      <c r="B23" s="184" t="s">
        <v>50</v>
      </c>
      <c r="C23" s="911"/>
      <c r="D23" s="911"/>
      <c r="E23" s="204">
        <v>12.138</v>
      </c>
      <c r="F23" s="205">
        <f>$E$23+($J$23-$E$23)/5</f>
        <v>13.0034</v>
      </c>
      <c r="G23" s="205">
        <f>$E$23+($J$23-$E$23)/5*2</f>
        <v>13.8688</v>
      </c>
      <c r="H23" s="205">
        <f>$E$23+($J$23-$E$23)/5*3</f>
        <v>14.7342</v>
      </c>
      <c r="I23" s="205">
        <f>$E$23+($J$23-$E$23)/5*4</f>
        <v>15.599599999999999</v>
      </c>
      <c r="J23" s="204">
        <v>16.465</v>
      </c>
      <c r="K23" s="204">
        <v>17.275</v>
      </c>
      <c r="L23" s="394">
        <v>18.558</v>
      </c>
      <c r="M23" s="204">
        <v>11.505</v>
      </c>
      <c r="N23" s="204">
        <v>11.556</v>
      </c>
      <c r="O23" s="204">
        <v>11.501</v>
      </c>
      <c r="P23" s="204">
        <v>11.294</v>
      </c>
      <c r="Q23" s="204">
        <v>11.164</v>
      </c>
      <c r="R23" s="204">
        <v>10.983</v>
      </c>
      <c r="S23" s="204">
        <v>10.74</v>
      </c>
      <c r="T23" s="204">
        <v>10.644</v>
      </c>
      <c r="U23" s="204">
        <v>10.628</v>
      </c>
      <c r="V23" s="204">
        <v>10.624</v>
      </c>
      <c r="W23" s="204">
        <v>10.543</v>
      </c>
      <c r="X23" s="204">
        <v>9.687</v>
      </c>
      <c r="Y23" s="423">
        <v>5.377</v>
      </c>
      <c r="Z23" s="204">
        <v>5.186</v>
      </c>
      <c r="AA23" s="204">
        <v>5.044</v>
      </c>
      <c r="AB23" s="204">
        <v>4.989</v>
      </c>
      <c r="AC23" s="204">
        <v>4.845</v>
      </c>
      <c r="AD23" s="206">
        <v>4.797</v>
      </c>
      <c r="AE23" s="209">
        <f t="shared" si="1"/>
        <v>-0.9907120743034028</v>
      </c>
      <c r="AF23" s="441" t="s">
        <v>50</v>
      </c>
    </row>
    <row r="24" spans="1:32" ht="12.75" customHeight="1">
      <c r="A24" s="8"/>
      <c r="B24" s="10" t="s">
        <v>51</v>
      </c>
      <c r="C24" s="912"/>
      <c r="D24" s="912">
        <v>10.5</v>
      </c>
      <c r="E24" s="140">
        <v>15.2</v>
      </c>
      <c r="F24" s="438">
        <f>$E$24+($J$24-$E$24)/5</f>
        <v>15.6768</v>
      </c>
      <c r="G24" s="438">
        <f>$E$24+($J$24-$E$24)/5*2</f>
        <v>16.1536</v>
      </c>
      <c r="H24" s="438">
        <f>$E$24+($J$24-$E$24)/5*3</f>
        <v>16.630399999999998</v>
      </c>
      <c r="I24" s="438">
        <f>$E$24+($J$24-$E$24)/5*4</f>
        <v>17.1072</v>
      </c>
      <c r="J24" s="140">
        <f>17.052+0.532</f>
        <v>17.584</v>
      </c>
      <c r="K24" s="140">
        <f>15.482+0.544</f>
        <v>16.026</v>
      </c>
      <c r="L24" s="140">
        <f>14.888+0.547</f>
        <v>15.435</v>
      </c>
      <c r="M24" s="140">
        <f>15.156+0.523</f>
        <v>15.679</v>
      </c>
      <c r="N24" s="140">
        <f>15.59+0.5</f>
        <v>16.09</v>
      </c>
      <c r="O24" s="140">
        <f>15.069+0.474</f>
        <v>15.543000000000001</v>
      </c>
      <c r="P24" s="140">
        <f>15.171+0.47</f>
        <v>15.641</v>
      </c>
      <c r="Q24" s="140">
        <f>15.376+0.466</f>
        <v>15.841999999999999</v>
      </c>
      <c r="R24" s="140">
        <f>15.543+0.463</f>
        <v>16.006</v>
      </c>
      <c r="S24" s="140">
        <f>14.377+0.476</f>
        <v>14.853000000000002</v>
      </c>
      <c r="T24" s="140">
        <f>14.839+0.472</f>
        <v>15.311</v>
      </c>
      <c r="U24" s="140">
        <f>15.134+0.485</f>
        <v>15.619</v>
      </c>
      <c r="V24" s="140">
        <f>13.997+0.491</f>
        <v>14.488</v>
      </c>
      <c r="W24" s="140">
        <f>13.824+0.488</f>
        <v>14.312</v>
      </c>
      <c r="X24" s="140">
        <f>13.36+0.477</f>
        <v>13.837</v>
      </c>
      <c r="Y24" s="140">
        <f>13.261+0.467</f>
        <v>13.728</v>
      </c>
      <c r="Z24" s="140">
        <v>13.545</v>
      </c>
      <c r="AA24" s="140">
        <v>13.107</v>
      </c>
      <c r="AB24" s="140">
        <v>13.063</v>
      </c>
      <c r="AC24" s="982">
        <v>6.937</v>
      </c>
      <c r="AD24" s="207">
        <v>6.856</v>
      </c>
      <c r="AE24" s="156">
        <f t="shared" si="1"/>
        <v>-1.1676517226466814</v>
      </c>
      <c r="AF24" s="393" t="s">
        <v>51</v>
      </c>
    </row>
    <row r="25" spans="1:32" ht="12.75" customHeight="1">
      <c r="A25" s="8"/>
      <c r="B25" s="184" t="s">
        <v>68</v>
      </c>
      <c r="C25" s="911">
        <v>0.56</v>
      </c>
      <c r="D25" s="911">
        <v>0.647</v>
      </c>
      <c r="E25" s="204">
        <v>0.76</v>
      </c>
      <c r="F25" s="204">
        <v>0.777</v>
      </c>
      <c r="G25" s="204">
        <v>0.814</v>
      </c>
      <c r="H25" s="204">
        <v>0.85</v>
      </c>
      <c r="I25" s="204">
        <v>0.846</v>
      </c>
      <c r="J25" s="204">
        <v>0.871</v>
      </c>
      <c r="K25" s="204">
        <v>0.914</v>
      </c>
      <c r="L25" s="204">
        <v>0.944</v>
      </c>
      <c r="M25" s="204">
        <v>0.945</v>
      </c>
      <c r="N25" s="204">
        <v>0.984</v>
      </c>
      <c r="O25" s="204">
        <v>1.051</v>
      </c>
      <c r="P25" s="204">
        <v>1.123</v>
      </c>
      <c r="Q25" s="204">
        <v>1.176</v>
      </c>
      <c r="R25" s="204">
        <v>1.227</v>
      </c>
      <c r="S25" s="204">
        <v>1.27</v>
      </c>
      <c r="T25" s="204">
        <v>1.34</v>
      </c>
      <c r="U25" s="204">
        <v>1.38</v>
      </c>
      <c r="V25" s="204">
        <v>1.456</v>
      </c>
      <c r="W25" s="204">
        <v>1.546</v>
      </c>
      <c r="X25" s="204">
        <f>1.624</f>
        <v>1.624</v>
      </c>
      <c r="Y25" s="204">
        <v>1.637</v>
      </c>
      <c r="Z25" s="204">
        <v>1.703</v>
      </c>
      <c r="AA25" s="204">
        <v>1.728</v>
      </c>
      <c r="AB25" s="204">
        <v>1.759</v>
      </c>
      <c r="AC25" s="204">
        <v>1.778</v>
      </c>
      <c r="AD25" s="989">
        <v>1.857</v>
      </c>
      <c r="AE25" s="209">
        <f t="shared" si="1"/>
        <v>4.4431946006749</v>
      </c>
      <c r="AF25" s="441" t="s">
        <v>68</v>
      </c>
    </row>
    <row r="26" spans="1:32" ht="12.75" customHeight="1">
      <c r="A26" s="8"/>
      <c r="B26" s="10" t="s">
        <v>49</v>
      </c>
      <c r="C26" s="912"/>
      <c r="D26" s="912">
        <v>22.2</v>
      </c>
      <c r="E26" s="140">
        <v>26.438</v>
      </c>
      <c r="F26" s="140">
        <v>24.497</v>
      </c>
      <c r="G26" s="140">
        <v>23.187</v>
      </c>
      <c r="H26" s="140">
        <v>22.186</v>
      </c>
      <c r="I26" s="140">
        <v>21.785</v>
      </c>
      <c r="J26" s="140">
        <v>20.464</v>
      </c>
      <c r="K26" s="140">
        <v>19.381</v>
      </c>
      <c r="L26" s="140">
        <v>18.89</v>
      </c>
      <c r="M26" s="140">
        <v>18.795</v>
      </c>
      <c r="N26" s="140">
        <v>17.733</v>
      </c>
      <c r="O26" s="140">
        <v>17.855</v>
      </c>
      <c r="P26" s="140">
        <v>17.817</v>
      </c>
      <c r="Q26" s="140">
        <v>17.873</v>
      </c>
      <c r="R26" s="140">
        <v>17.877</v>
      </c>
      <c r="S26" s="140">
        <v>17.428</v>
      </c>
      <c r="T26" s="140">
        <v>17.45</v>
      </c>
      <c r="U26" s="140">
        <v>17.721</v>
      </c>
      <c r="V26" s="140">
        <v>17.899</v>
      </c>
      <c r="W26" s="140">
        <v>17.955</v>
      </c>
      <c r="X26" s="140">
        <v>17.72</v>
      </c>
      <c r="Y26" s="140">
        <f>17.641</f>
        <v>17.641</v>
      </c>
      <c r="Z26" s="140">
        <v>17.366</v>
      </c>
      <c r="AA26" s="140">
        <v>17.301</v>
      </c>
      <c r="AB26" s="140">
        <v>17.569</v>
      </c>
      <c r="AC26" s="140">
        <v>17.923</v>
      </c>
      <c r="AD26" s="207">
        <v>18.135</v>
      </c>
      <c r="AE26" s="156">
        <f t="shared" si="1"/>
        <v>1.1828376945824033</v>
      </c>
      <c r="AF26" s="393" t="s">
        <v>49</v>
      </c>
    </row>
    <row r="27" spans="1:32" ht="12.75" customHeight="1">
      <c r="A27" s="8"/>
      <c r="B27" s="184" t="s">
        <v>52</v>
      </c>
      <c r="C27" s="911"/>
      <c r="D27" s="911"/>
      <c r="E27" s="204">
        <v>0.978</v>
      </c>
      <c r="F27" s="205">
        <f>$E$27+($H$27-$E$27)/3</f>
        <v>0.964</v>
      </c>
      <c r="G27" s="205">
        <f>$E$27+($H$27-$E$27)/3*2</f>
        <v>0.9500000000000001</v>
      </c>
      <c r="H27" s="204">
        <v>0.936</v>
      </c>
      <c r="I27" s="204">
        <v>0.964</v>
      </c>
      <c r="J27" s="204">
        <v>1.014</v>
      </c>
      <c r="K27" s="204">
        <v>0.967</v>
      </c>
      <c r="L27" s="204">
        <v>1.077</v>
      </c>
      <c r="M27" s="204">
        <f>0.162+0.375+0.57</f>
        <v>1.107</v>
      </c>
      <c r="N27" s="204">
        <f>0.157+0.39+0.572</f>
        <v>1.119</v>
      </c>
      <c r="O27" s="204">
        <f>0.156+0.397+0.573</f>
        <v>1.126</v>
      </c>
      <c r="P27" s="204">
        <f>0.156+0.398+0.571</f>
        <v>1.125</v>
      </c>
      <c r="Q27" s="204">
        <v>1.133</v>
      </c>
      <c r="R27" s="204">
        <v>1.15</v>
      </c>
      <c r="S27" s="204">
        <v>1.158</v>
      </c>
      <c r="T27" s="204">
        <f>0.144+0.422+0.577</f>
        <v>1.1429999999999998</v>
      </c>
      <c r="U27" s="204">
        <f>0.144+0.426+0.578</f>
        <v>1.148</v>
      </c>
      <c r="V27" s="204">
        <f>0.15+0.433+0.582</f>
        <v>1.165</v>
      </c>
      <c r="W27" s="204">
        <f>0.161+0.433+0.582</f>
        <v>1.176</v>
      </c>
      <c r="X27" s="204">
        <f>0.159+0.451+0.576</f>
        <v>1.186</v>
      </c>
      <c r="Y27" s="423">
        <f>0.214+0.318+0.737+0.566</f>
        <v>1.835</v>
      </c>
      <c r="Z27" s="204">
        <v>1.7420000000000002</v>
      </c>
      <c r="AA27" s="204">
        <v>1.7459999999999998</v>
      </c>
      <c r="AB27" s="204">
        <v>1.7119999999999997</v>
      </c>
      <c r="AC27" s="204">
        <v>1.795</v>
      </c>
      <c r="AD27" s="206">
        <v>1.9549999999999998</v>
      </c>
      <c r="AE27" s="209">
        <f t="shared" si="1"/>
        <v>8.913649025069631</v>
      </c>
      <c r="AF27" s="441" t="s">
        <v>52</v>
      </c>
    </row>
    <row r="28" spans="1:32" ht="12.75" customHeight="1">
      <c r="A28" s="8"/>
      <c r="B28" s="10" t="s">
        <v>60</v>
      </c>
      <c r="C28" s="912">
        <v>9.5</v>
      </c>
      <c r="D28" s="912">
        <v>11.2</v>
      </c>
      <c r="E28" s="140">
        <v>12.1</v>
      </c>
      <c r="F28" s="140">
        <v>12.427</v>
      </c>
      <c r="G28" s="140">
        <v>12.341</v>
      </c>
      <c r="H28" s="140">
        <v>12.525</v>
      </c>
      <c r="I28" s="140">
        <v>12</v>
      </c>
      <c r="J28" s="140">
        <v>11.636</v>
      </c>
      <c r="K28" s="140">
        <v>11.334</v>
      </c>
      <c r="L28" s="140">
        <v>10.801</v>
      </c>
      <c r="M28" s="140">
        <v>11.006</v>
      </c>
      <c r="N28" s="140">
        <v>11.21</v>
      </c>
      <c r="O28" s="140">
        <v>11.374</v>
      </c>
      <c r="P28" s="140">
        <v>11.326</v>
      </c>
      <c r="Q28" s="140">
        <v>11.382</v>
      </c>
      <c r="R28" s="140">
        <v>11.344</v>
      </c>
      <c r="S28" s="140">
        <v>11.231</v>
      </c>
      <c r="T28" s="140">
        <v>10.995</v>
      </c>
      <c r="U28" s="140">
        <v>10.845</v>
      </c>
      <c r="V28" s="140">
        <v>11.091</v>
      </c>
      <c r="W28" s="140">
        <v>11.332</v>
      </c>
      <c r="X28" s="140">
        <v>11.634</v>
      </c>
      <c r="Y28" s="140">
        <f>11.277</f>
        <v>11.277</v>
      </c>
      <c r="Z28" s="140">
        <v>10.986</v>
      </c>
      <c r="AA28" s="140">
        <v>10.464</v>
      </c>
      <c r="AB28" s="140">
        <v>9.922</v>
      </c>
      <c r="AC28" s="140">
        <v>9.597</v>
      </c>
      <c r="AD28" s="207">
        <v>9.411</v>
      </c>
      <c r="AE28" s="156">
        <f t="shared" si="1"/>
        <v>-1.9381056580181308</v>
      </c>
      <c r="AF28" s="393" t="s">
        <v>60</v>
      </c>
    </row>
    <row r="29" spans="1:32" ht="12.75" customHeight="1">
      <c r="A29" s="8"/>
      <c r="B29" s="184" t="s">
        <v>69</v>
      </c>
      <c r="C29" s="911">
        <v>6.804</v>
      </c>
      <c r="D29" s="911">
        <v>8.89</v>
      </c>
      <c r="E29" s="204">
        <v>9.402</v>
      </c>
      <c r="F29" s="204">
        <v>9.269</v>
      </c>
      <c r="G29" s="204">
        <v>9.375</v>
      </c>
      <c r="H29" s="204">
        <v>9.483</v>
      </c>
      <c r="I29" s="204">
        <v>9.598</v>
      </c>
      <c r="J29" s="204">
        <v>9.752</v>
      </c>
      <c r="K29" s="204">
        <v>9.74</v>
      </c>
      <c r="L29" s="204">
        <v>9.7</v>
      </c>
      <c r="M29" s="204">
        <v>9.675</v>
      </c>
      <c r="N29" s="204">
        <v>9.834</v>
      </c>
      <c r="O29" s="204">
        <v>9.918</v>
      </c>
      <c r="P29" s="394">
        <v>9.902</v>
      </c>
      <c r="Q29" s="204">
        <v>9.179</v>
      </c>
      <c r="R29" s="204">
        <v>9.231</v>
      </c>
      <c r="S29" s="204">
        <v>9.408</v>
      </c>
      <c r="T29" s="204">
        <v>9.301</v>
      </c>
      <c r="U29" s="204">
        <v>9.297</v>
      </c>
      <c r="V29" s="204">
        <v>9.299</v>
      </c>
      <c r="W29" s="204">
        <v>9.368</v>
      </c>
      <c r="X29" s="204">
        <v>9.599</v>
      </c>
      <c r="Y29" s="204">
        <f>9.648</f>
        <v>9.648</v>
      </c>
      <c r="Z29" s="204">
        <v>9.602</v>
      </c>
      <c r="AA29" s="204">
        <v>9.546</v>
      </c>
      <c r="AB29" s="204">
        <v>9.579</v>
      </c>
      <c r="AC29" s="204">
        <v>9.585</v>
      </c>
      <c r="AD29" s="206">
        <v>9.679</v>
      </c>
      <c r="AE29" s="209">
        <f t="shared" si="1"/>
        <v>0.9806990088680152</v>
      </c>
      <c r="AF29" s="441" t="s">
        <v>69</v>
      </c>
    </row>
    <row r="30" spans="1:32" ht="12.75" customHeight="1">
      <c r="A30" s="8"/>
      <c r="B30" s="10" t="s">
        <v>53</v>
      </c>
      <c r="C30" s="912"/>
      <c r="D30" s="912">
        <v>66.4</v>
      </c>
      <c r="E30" s="140">
        <v>92.403</v>
      </c>
      <c r="F30" s="140">
        <v>86.951</v>
      </c>
      <c r="G30" s="140">
        <v>86.578</v>
      </c>
      <c r="H30" s="140">
        <v>86.154</v>
      </c>
      <c r="I30" s="140">
        <v>86.852</v>
      </c>
      <c r="J30" s="140">
        <v>85.413</v>
      </c>
      <c r="K30" s="140">
        <v>85.596</v>
      </c>
      <c r="L30" s="140">
        <v>81.788</v>
      </c>
      <c r="M30" s="140">
        <v>80.827</v>
      </c>
      <c r="N30" s="140">
        <v>78.958</v>
      </c>
      <c r="O30" s="140">
        <v>82.59</v>
      </c>
      <c r="P30" s="140">
        <v>82.5</v>
      </c>
      <c r="Q30" s="140">
        <v>83.389</v>
      </c>
      <c r="R30" s="140">
        <v>82.769</v>
      </c>
      <c r="S30" s="140">
        <v>82.676</v>
      </c>
      <c r="T30" s="140">
        <v>79.567</v>
      </c>
      <c r="U30" s="140">
        <v>83.496</v>
      </c>
      <c r="V30" s="140">
        <v>87.586</v>
      </c>
      <c r="W30" s="140">
        <v>92.401</v>
      </c>
      <c r="X30" s="140">
        <v>95.415</v>
      </c>
      <c r="Y30" s="140">
        <v>97.044</v>
      </c>
      <c r="Z30" s="140">
        <v>100.299</v>
      </c>
      <c r="AA30" s="140">
        <v>99.858</v>
      </c>
      <c r="AB30" s="140">
        <v>102.602</v>
      </c>
      <c r="AC30" s="140">
        <v>106.057</v>
      </c>
      <c r="AD30" s="207">
        <v>109.844</v>
      </c>
      <c r="AE30" s="156">
        <f t="shared" si="1"/>
        <v>3.5707214045277453</v>
      </c>
      <c r="AF30" s="393" t="s">
        <v>53</v>
      </c>
    </row>
    <row r="31" spans="1:32" ht="12.75" customHeight="1">
      <c r="A31" s="8"/>
      <c r="B31" s="184" t="s">
        <v>70</v>
      </c>
      <c r="C31" s="911">
        <v>5.873</v>
      </c>
      <c r="D31" s="911">
        <v>8.489</v>
      </c>
      <c r="E31" s="204">
        <v>12.099</v>
      </c>
      <c r="F31" s="204">
        <v>12.348</v>
      </c>
      <c r="G31" s="204">
        <v>12.961</v>
      </c>
      <c r="H31" s="204">
        <v>13.554</v>
      </c>
      <c r="I31" s="204">
        <v>14.353</v>
      </c>
      <c r="J31" s="204">
        <v>15.02</v>
      </c>
      <c r="K31" s="204">
        <v>15.681</v>
      </c>
      <c r="L31" s="204">
        <v>16.431</v>
      </c>
      <c r="M31" s="204">
        <v>17.513</v>
      </c>
      <c r="N31" s="204">
        <v>18.544</v>
      </c>
      <c r="O31" s="394">
        <v>19.78</v>
      </c>
      <c r="P31" s="204">
        <v>20.76</v>
      </c>
      <c r="Q31" s="204">
        <v>21.387</v>
      </c>
      <c r="R31" s="204">
        <v>21.653</v>
      </c>
      <c r="S31" s="442">
        <v>21.8</v>
      </c>
      <c r="T31" s="204">
        <v>14.674</v>
      </c>
      <c r="U31" s="204">
        <v>15</v>
      </c>
      <c r="V31" s="204">
        <v>15.1</v>
      </c>
      <c r="W31" s="204">
        <v>15.4</v>
      </c>
      <c r="X31" s="204">
        <f>15.5</f>
        <v>15.5</v>
      </c>
      <c r="Y31" s="423">
        <v>15.425</v>
      </c>
      <c r="Z31" s="204">
        <v>15.181</v>
      </c>
      <c r="AA31" s="204">
        <v>15.1</v>
      </c>
      <c r="AB31" s="204">
        <v>14.8</v>
      </c>
      <c r="AC31" s="204">
        <v>14.5</v>
      </c>
      <c r="AD31" s="206">
        <v>14.7</v>
      </c>
      <c r="AE31" s="209">
        <f t="shared" si="1"/>
        <v>1.3793103448275872</v>
      </c>
      <c r="AF31" s="441" t="s">
        <v>70</v>
      </c>
    </row>
    <row r="32" spans="1:32" ht="12.75" customHeight="1">
      <c r="A32" s="8"/>
      <c r="B32" s="10" t="s">
        <v>54</v>
      </c>
      <c r="C32" s="912"/>
      <c r="D32" s="912">
        <v>25</v>
      </c>
      <c r="E32" s="140">
        <f>24.297+3.975</f>
        <v>28.272000000000002</v>
      </c>
      <c r="F32" s="140">
        <f>25.199+5.956</f>
        <v>31.155</v>
      </c>
      <c r="G32" s="140">
        <f>26.847+8.232</f>
        <v>35.079</v>
      </c>
      <c r="H32" s="140">
        <f>28.085+9.646</f>
        <v>37.731</v>
      </c>
      <c r="I32" s="140">
        <f>28.862+11.155</f>
        <v>40.016999999999996</v>
      </c>
      <c r="J32" s="140">
        <f>30.365+11.682</f>
        <v>42.047</v>
      </c>
      <c r="K32" s="140">
        <f>27.372+12.143</f>
        <v>39.515</v>
      </c>
      <c r="L32" s="140">
        <f>27.426+12.532</f>
        <v>39.958</v>
      </c>
      <c r="M32" s="140">
        <f>27.399+12.986</f>
        <v>40.385000000000005</v>
      </c>
      <c r="N32" s="140">
        <f>27.317+13.305</f>
        <v>40.622</v>
      </c>
      <c r="O32" s="140">
        <f>27.181+13.535</f>
        <v>40.716</v>
      </c>
      <c r="P32" s="140">
        <f>26.965+13.826</f>
        <v>40.791</v>
      </c>
      <c r="Q32" s="140">
        <f>26.672+14.108</f>
        <v>40.78</v>
      </c>
      <c r="R32" s="140">
        <f>25.829+16.118</f>
        <v>41.947</v>
      </c>
      <c r="S32" s="140">
        <f>25.421+17.771</f>
        <v>43.192</v>
      </c>
      <c r="T32" s="140">
        <f>21.976+17.297</f>
        <v>39.272999999999996</v>
      </c>
      <c r="U32" s="395">
        <f>22.663+17.755</f>
        <v>40.418</v>
      </c>
      <c r="V32" s="140">
        <f>17.151+17.051</f>
        <v>34.202</v>
      </c>
      <c r="W32" s="140">
        <v>41.514</v>
      </c>
      <c r="X32" s="140">
        <f>41.16</f>
        <v>41.16</v>
      </c>
      <c r="Y32" s="140">
        <v>40.877</v>
      </c>
      <c r="Z32" s="140">
        <v>40.887</v>
      </c>
      <c r="AA32" s="140">
        <v>42.01</v>
      </c>
      <c r="AB32" s="140">
        <v>42.836</v>
      </c>
      <c r="AC32" s="140">
        <v>44.283</v>
      </c>
      <c r="AD32" s="207">
        <v>47.347</v>
      </c>
      <c r="AE32" s="156">
        <f t="shared" si="1"/>
        <v>6.919133753359091</v>
      </c>
      <c r="AF32" s="393" t="s">
        <v>54</v>
      </c>
    </row>
    <row r="33" spans="1:32" ht="12.75" customHeight="1">
      <c r="A33" s="8"/>
      <c r="B33" s="184" t="s">
        <v>56</v>
      </c>
      <c r="C33" s="911">
        <v>1.664</v>
      </c>
      <c r="D33" s="911">
        <v>2.505</v>
      </c>
      <c r="E33" s="204">
        <v>3.077</v>
      </c>
      <c r="F33" s="204">
        <v>2.855</v>
      </c>
      <c r="G33" s="204">
        <v>2.67</v>
      </c>
      <c r="H33" s="204">
        <v>2.597</v>
      </c>
      <c r="I33" s="204">
        <v>2.512</v>
      </c>
      <c r="J33" s="204">
        <v>2.473</v>
      </c>
      <c r="K33" s="204">
        <v>2.407</v>
      </c>
      <c r="L33" s="204">
        <v>2.369</v>
      </c>
      <c r="M33" s="204">
        <v>2.325</v>
      </c>
      <c r="N33" s="204">
        <v>2.315</v>
      </c>
      <c r="O33" s="204">
        <v>2.255</v>
      </c>
      <c r="P33" s="204">
        <v>2.213</v>
      </c>
      <c r="Q33" s="204">
        <v>2.196</v>
      </c>
      <c r="R33" s="204">
        <v>2.19</v>
      </c>
      <c r="S33" s="204">
        <v>2.269</v>
      </c>
      <c r="T33" s="204">
        <v>2.255</v>
      </c>
      <c r="U33" s="204">
        <v>2.277</v>
      </c>
      <c r="V33" s="204">
        <v>2.33</v>
      </c>
      <c r="W33" s="204">
        <v>2.378</v>
      </c>
      <c r="X33" s="204">
        <v>2.394</v>
      </c>
      <c r="Y33" s="204">
        <f>2.4</f>
        <v>2.4</v>
      </c>
      <c r="Z33" s="204">
        <v>2.422</v>
      </c>
      <c r="AA33" s="204">
        <v>2.41</v>
      </c>
      <c r="AB33" s="204">
        <v>2.465</v>
      </c>
      <c r="AC33" s="204">
        <v>2.559</v>
      </c>
      <c r="AD33" s="206">
        <v>2.631</v>
      </c>
      <c r="AE33" s="209">
        <f t="shared" si="1"/>
        <v>2.8135990621336333</v>
      </c>
      <c r="AF33" s="441" t="s">
        <v>56</v>
      </c>
    </row>
    <row r="34" spans="1:32" ht="12.75" customHeight="1">
      <c r="A34" s="8"/>
      <c r="B34" s="10" t="s">
        <v>55</v>
      </c>
      <c r="C34" s="912"/>
      <c r="D34" s="912">
        <v>10</v>
      </c>
      <c r="E34" s="140">
        <v>14.301</v>
      </c>
      <c r="F34" s="140">
        <v>13.77</v>
      </c>
      <c r="G34" s="140">
        <v>13.338</v>
      </c>
      <c r="H34" s="140">
        <v>12.655</v>
      </c>
      <c r="I34" s="140">
        <v>12.066</v>
      </c>
      <c r="J34" s="140">
        <v>11.812</v>
      </c>
      <c r="K34" s="140">
        <v>11.321</v>
      </c>
      <c r="L34" s="140">
        <v>11.235</v>
      </c>
      <c r="M34" s="140">
        <v>11.293</v>
      </c>
      <c r="N34" s="140">
        <v>11.101</v>
      </c>
      <c r="O34" s="140">
        <v>10.92</v>
      </c>
      <c r="P34" s="140">
        <v>10.649</v>
      </c>
      <c r="Q34" s="140">
        <v>10.589</v>
      </c>
      <c r="R34" s="140">
        <v>10.568</v>
      </c>
      <c r="S34" s="140">
        <v>8.921</v>
      </c>
      <c r="T34" s="140">
        <v>9.113</v>
      </c>
      <c r="U34" s="140">
        <v>8.782</v>
      </c>
      <c r="V34" s="140">
        <v>10.48</v>
      </c>
      <c r="W34" s="140">
        <v>10.537</v>
      </c>
      <c r="X34" s="440">
        <f>9.4</f>
        <v>9.4</v>
      </c>
      <c r="Y34" s="440">
        <f>9.35</f>
        <v>9.35</v>
      </c>
      <c r="Z34" s="440">
        <v>9.074</v>
      </c>
      <c r="AA34" s="440">
        <v>8.957</v>
      </c>
      <c r="AB34" s="440">
        <v>8.821</v>
      </c>
      <c r="AC34" s="440">
        <v>9.159</v>
      </c>
      <c r="AD34" s="536">
        <v>9.27</v>
      </c>
      <c r="AE34" s="437">
        <f t="shared" si="1"/>
        <v>1.2119226989846084</v>
      </c>
      <c r="AF34" s="393" t="s">
        <v>55</v>
      </c>
    </row>
    <row r="35" spans="1:32" ht="12.75" customHeight="1">
      <c r="A35" s="8"/>
      <c r="B35" s="184" t="s">
        <v>71</v>
      </c>
      <c r="C35" s="911">
        <v>8.116</v>
      </c>
      <c r="D35" s="911">
        <v>8.963</v>
      </c>
      <c r="E35" s="204">
        <v>9.327</v>
      </c>
      <c r="F35" s="204">
        <v>8.968</v>
      </c>
      <c r="G35" s="204">
        <v>8.665</v>
      </c>
      <c r="H35" s="204">
        <v>8.255</v>
      </c>
      <c r="I35" s="204">
        <v>8.054</v>
      </c>
      <c r="J35" s="204">
        <v>8.083</v>
      </c>
      <c r="K35" s="204">
        <v>8.233</v>
      </c>
      <c r="L35" s="204">
        <v>8.45</v>
      </c>
      <c r="M35" s="204">
        <v>9.04</v>
      </c>
      <c r="N35" s="204">
        <v>9.487</v>
      </c>
      <c r="O35" s="204">
        <v>9.852</v>
      </c>
      <c r="P35" s="204">
        <v>9.769</v>
      </c>
      <c r="Q35" s="204">
        <v>10.005</v>
      </c>
      <c r="R35" s="204">
        <v>10.358</v>
      </c>
      <c r="S35" s="204">
        <v>10.716</v>
      </c>
      <c r="T35" s="204">
        <v>10.921</v>
      </c>
      <c r="U35" s="204">
        <v>11.189</v>
      </c>
      <c r="V35" s="204">
        <v>11.543</v>
      </c>
      <c r="W35" s="204">
        <v>12.276</v>
      </c>
      <c r="X35" s="204">
        <f>13.017</f>
        <v>13.017</v>
      </c>
      <c r="Y35" s="204">
        <f>13.65</f>
        <v>13.65</v>
      </c>
      <c r="Z35" s="204">
        <v>14.226</v>
      </c>
      <c r="AA35" s="204">
        <v>14.93</v>
      </c>
      <c r="AB35" s="204">
        <v>15.536</v>
      </c>
      <c r="AC35" s="204">
        <v>16.251</v>
      </c>
      <c r="AD35" s="206">
        <v>16.856</v>
      </c>
      <c r="AE35" s="209">
        <f t="shared" si="1"/>
        <v>3.722847824749252</v>
      </c>
      <c r="AF35" s="441" t="s">
        <v>71</v>
      </c>
    </row>
    <row r="36" spans="1:32" ht="12.75" customHeight="1">
      <c r="A36" s="8"/>
      <c r="B36" s="10" t="s">
        <v>72</v>
      </c>
      <c r="C36" s="912">
        <v>14.253</v>
      </c>
      <c r="D36" s="912">
        <v>12.796</v>
      </c>
      <c r="E36" s="140">
        <v>14.595</v>
      </c>
      <c r="F36" s="140">
        <v>14.555</v>
      </c>
      <c r="G36" s="140">
        <v>14.252</v>
      </c>
      <c r="H36" s="140">
        <v>14.127</v>
      </c>
      <c r="I36" s="140">
        <v>14.293</v>
      </c>
      <c r="J36" s="140">
        <v>14.577</v>
      </c>
      <c r="K36" s="140">
        <v>14.753</v>
      </c>
      <c r="L36" s="140">
        <v>14.838</v>
      </c>
      <c r="M36" s="140">
        <v>14.924</v>
      </c>
      <c r="N36" s="140">
        <v>14.869</v>
      </c>
      <c r="O36" s="140">
        <v>14.417</v>
      </c>
      <c r="P36" s="140">
        <v>14.246</v>
      </c>
      <c r="Q36" s="140">
        <v>14.013</v>
      </c>
      <c r="R36" s="140">
        <v>13.742</v>
      </c>
      <c r="S36" s="140">
        <v>13.363</v>
      </c>
      <c r="T36" s="140">
        <v>13.477</v>
      </c>
      <c r="U36" s="140">
        <v>13.643</v>
      </c>
      <c r="V36" s="140">
        <v>13.315</v>
      </c>
      <c r="W36" s="140">
        <v>13.474</v>
      </c>
      <c r="X36" s="140">
        <f>13.407</f>
        <v>13.407</v>
      </c>
      <c r="Y36" s="140">
        <v>13.873</v>
      </c>
      <c r="Z36" s="140">
        <v>13.947</v>
      </c>
      <c r="AA36" s="140">
        <v>14.203</v>
      </c>
      <c r="AB36" s="140">
        <v>13.986</v>
      </c>
      <c r="AC36" s="140">
        <v>13.992</v>
      </c>
      <c r="AD36" s="207">
        <v>14.114</v>
      </c>
      <c r="AE36" s="156">
        <f t="shared" si="1"/>
        <v>0.871926815323036</v>
      </c>
      <c r="AF36" s="393" t="s">
        <v>72</v>
      </c>
    </row>
    <row r="37" spans="1:32" ht="12.75" customHeight="1">
      <c r="A37" s="8"/>
      <c r="B37" s="186" t="s">
        <v>61</v>
      </c>
      <c r="C37" s="910">
        <v>84.2</v>
      </c>
      <c r="D37" s="910">
        <v>83.3</v>
      </c>
      <c r="E37" s="443">
        <v>75</v>
      </c>
      <c r="F37" s="443">
        <v>75.5</v>
      </c>
      <c r="G37" s="443">
        <v>76</v>
      </c>
      <c r="H37" s="444">
        <v>76.5</v>
      </c>
      <c r="I37" s="397">
        <f>74.5+2</f>
        <v>76.5</v>
      </c>
      <c r="J37" s="397">
        <f>73.8+2.1</f>
        <v>75.89999999999999</v>
      </c>
      <c r="K37" s="397">
        <f>76.6+2.1</f>
        <v>78.69999999999999</v>
      </c>
      <c r="L37" s="397">
        <f>78.6+2.1</f>
        <v>80.69999999999999</v>
      </c>
      <c r="M37" s="397">
        <f>80.1+2.2</f>
        <v>82.3</v>
      </c>
      <c r="N37" s="397">
        <f>83.6+2.2</f>
        <v>85.8</v>
      </c>
      <c r="O37" s="397">
        <f>86.3+2.3</f>
        <v>88.6</v>
      </c>
      <c r="P37" s="397">
        <f>88.5+2.3</f>
        <v>90.8</v>
      </c>
      <c r="Q37" s="397">
        <f>92.3+2.3</f>
        <v>94.6</v>
      </c>
      <c r="R37" s="397">
        <f>96.1+2.4</f>
        <v>98.5</v>
      </c>
      <c r="S37" s="397">
        <f>99.8+2.4</f>
        <v>102.2</v>
      </c>
      <c r="T37" s="397">
        <f>103+2.6</f>
        <v>105.6</v>
      </c>
      <c r="U37" s="397">
        <f>103.9+2.7</f>
        <v>106.60000000000001</v>
      </c>
      <c r="V37" s="397">
        <f>106.3+2.9</f>
        <v>109.2</v>
      </c>
      <c r="W37" s="397">
        <f>107.9+3</f>
        <v>110.9</v>
      </c>
      <c r="X37" s="397">
        <f>108.5+2.987</f>
        <v>111.487</v>
      </c>
      <c r="Y37" s="397">
        <f>108.5+3.035</f>
        <v>111.535</v>
      </c>
      <c r="Z37" s="397">
        <v>110.221</v>
      </c>
      <c r="AA37" s="397">
        <v>111.094</v>
      </c>
      <c r="AB37" s="397">
        <v>111.615</v>
      </c>
      <c r="AC37" s="397">
        <v>112.171</v>
      </c>
      <c r="AD37" s="208">
        <v>113.34</v>
      </c>
      <c r="AE37" s="210">
        <f t="shared" si="1"/>
        <v>1.0421588467607563</v>
      </c>
      <c r="AF37" s="445" t="s">
        <v>61</v>
      </c>
    </row>
    <row r="38" spans="1:32" ht="12.75" customHeight="1">
      <c r="A38" s="8"/>
      <c r="B38" s="497" t="s">
        <v>221</v>
      </c>
      <c r="C38" s="200"/>
      <c r="D38" s="200"/>
      <c r="E38" s="438"/>
      <c r="F38" s="438"/>
      <c r="G38" s="438"/>
      <c r="H38" s="438">
        <v>7.582</v>
      </c>
      <c r="I38" s="140">
        <v>8.149</v>
      </c>
      <c r="J38" s="140">
        <v>6.651</v>
      </c>
      <c r="K38" s="140">
        <v>7.612</v>
      </c>
      <c r="L38" s="140">
        <v>8.747</v>
      </c>
      <c r="M38" s="140">
        <v>9.227</v>
      </c>
      <c r="N38" s="140">
        <v>12.306</v>
      </c>
      <c r="O38" s="140">
        <v>16.806</v>
      </c>
      <c r="P38" s="140">
        <v>20.813</v>
      </c>
      <c r="Q38" s="140">
        <v>21.026</v>
      </c>
      <c r="R38" s="140">
        <v>21.693</v>
      </c>
      <c r="S38" s="140">
        <v>25.066</v>
      </c>
      <c r="T38" s="140">
        <v>29.453</v>
      </c>
      <c r="U38" s="140">
        <v>35.973</v>
      </c>
      <c r="V38" s="140">
        <v>29.506</v>
      </c>
      <c r="W38" s="543">
        <v>6.645</v>
      </c>
      <c r="X38" s="140">
        <v>6.594</v>
      </c>
      <c r="Y38" s="140">
        <v>7.032</v>
      </c>
      <c r="Z38" s="140">
        <v>6.698</v>
      </c>
      <c r="AA38" s="140">
        <v>5.25</v>
      </c>
      <c r="AB38" s="140">
        <v>5.676</v>
      </c>
      <c r="AC38" s="140">
        <v>6.048</v>
      </c>
      <c r="AD38" s="207">
        <v>6.423</v>
      </c>
      <c r="AE38" s="156">
        <f t="shared" si="1"/>
        <v>6.200396825396808</v>
      </c>
      <c r="AF38" s="393" t="s">
        <v>221</v>
      </c>
    </row>
    <row r="39" spans="1:32" ht="12.75" customHeight="1">
      <c r="A39" s="8"/>
      <c r="B39" s="184" t="s">
        <v>213</v>
      </c>
      <c r="C39" s="201"/>
      <c r="D39" s="201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>
        <v>1.217</v>
      </c>
      <c r="AA39" s="204">
        <v>1.199</v>
      </c>
      <c r="AB39" s="204">
        <v>1.246</v>
      </c>
      <c r="AC39" s="204">
        <v>1.247</v>
      </c>
      <c r="AD39" s="206">
        <v>1.261</v>
      </c>
      <c r="AE39" s="209">
        <f t="shared" si="1"/>
        <v>1.1226944667201053</v>
      </c>
      <c r="AF39" s="441" t="s">
        <v>213</v>
      </c>
    </row>
    <row r="40" spans="1:32" ht="12.75" customHeight="1">
      <c r="A40" s="8"/>
      <c r="B40" s="497" t="s">
        <v>1</v>
      </c>
      <c r="C40" s="200"/>
      <c r="D40" s="200"/>
      <c r="E40" s="140">
        <v>2.32</v>
      </c>
      <c r="F40" s="140">
        <v>2.576</v>
      </c>
      <c r="G40" s="140">
        <v>2.828</v>
      </c>
      <c r="H40" s="140">
        <v>2.921</v>
      </c>
      <c r="I40" s="140">
        <v>2.453</v>
      </c>
      <c r="J40" s="140">
        <v>2.541</v>
      </c>
      <c r="K40" s="140">
        <v>2.442</v>
      </c>
      <c r="L40" s="140">
        <v>2.43</v>
      </c>
      <c r="M40" s="140">
        <v>2.478</v>
      </c>
      <c r="N40" s="140">
        <v>2.479</v>
      </c>
      <c r="O40" s="140">
        <v>2.498</v>
      </c>
      <c r="P40" s="140">
        <v>2.62</v>
      </c>
      <c r="Q40" s="140">
        <v>2.497</v>
      </c>
      <c r="R40" s="140">
        <v>2.478</v>
      </c>
      <c r="S40" s="140">
        <v>2.176</v>
      </c>
      <c r="T40" s="140">
        <v>2.269</v>
      </c>
      <c r="U40" s="140">
        <v>2.22</v>
      </c>
      <c r="V40" s="140">
        <f>2.284</f>
        <v>2.284</v>
      </c>
      <c r="W40" s="140">
        <f>2.27</f>
        <v>2.27</v>
      </c>
      <c r="X40" s="140">
        <f>2.454</f>
        <v>2.454</v>
      </c>
      <c r="Y40" s="140">
        <f>2.695</f>
        <v>2.695</v>
      </c>
      <c r="Z40" s="140">
        <v>2.636</v>
      </c>
      <c r="AA40" s="140">
        <v>2.719</v>
      </c>
      <c r="AB40" s="140">
        <v>3.022</v>
      </c>
      <c r="AC40" s="140">
        <v>3.164</v>
      </c>
      <c r="AD40" s="207">
        <v>3.243</v>
      </c>
      <c r="AE40" s="156">
        <f t="shared" si="1"/>
        <v>2.4968394437420898</v>
      </c>
      <c r="AF40" s="393" t="s">
        <v>1</v>
      </c>
    </row>
    <row r="41" spans="1:32" ht="12.75" customHeight="1">
      <c r="A41" s="8"/>
      <c r="B41" s="184" t="s">
        <v>212</v>
      </c>
      <c r="C41" s="201"/>
      <c r="D41" s="201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>
        <v>9.287</v>
      </c>
      <c r="Q41" s="204">
        <v>8.911</v>
      </c>
      <c r="R41" s="204">
        <v>9.144</v>
      </c>
      <c r="S41" s="204">
        <v>9.125</v>
      </c>
      <c r="T41" s="204">
        <v>9.696</v>
      </c>
      <c r="U41" s="204">
        <v>9.312</v>
      </c>
      <c r="V41" s="204">
        <v>8.887</v>
      </c>
      <c r="W41" s="204">
        <v>8.557</v>
      </c>
      <c r="X41" s="204">
        <v>8.853</v>
      </c>
      <c r="Y41" s="204">
        <v>8.034</v>
      </c>
      <c r="Z41" s="204">
        <v>8.805</v>
      </c>
      <c r="AA41" s="204">
        <v>8.834</v>
      </c>
      <c r="AB41" s="204">
        <v>9.019</v>
      </c>
      <c r="AC41" s="204">
        <v>9.044</v>
      </c>
      <c r="AD41" s="206">
        <v>9.482</v>
      </c>
      <c r="AE41" s="209">
        <f t="shared" si="1"/>
        <v>4.842989827509953</v>
      </c>
      <c r="AF41" s="441" t="s">
        <v>212</v>
      </c>
    </row>
    <row r="42" spans="1:32" ht="12.75" customHeight="1">
      <c r="A42" s="8"/>
      <c r="B42" s="498" t="s">
        <v>57</v>
      </c>
      <c r="C42" s="202"/>
      <c r="D42" s="202"/>
      <c r="E42" s="141">
        <v>188.099</v>
      </c>
      <c r="F42" s="141">
        <v>202.605</v>
      </c>
      <c r="G42" s="141">
        <v>220.904</v>
      </c>
      <c r="H42" s="141">
        <v>244.154</v>
      </c>
      <c r="I42" s="141">
        <v>253.969</v>
      </c>
      <c r="J42" s="141">
        <v>263.248</v>
      </c>
      <c r="K42" s="141">
        <v>277.672</v>
      </c>
      <c r="L42" s="141">
        <v>298.953</v>
      </c>
      <c r="M42" s="141">
        <v>319.856</v>
      </c>
      <c r="N42" s="141">
        <v>333.869</v>
      </c>
      <c r="O42" s="141">
        <v>354.339</v>
      </c>
      <c r="P42" s="141">
        <v>358.687</v>
      </c>
      <c r="Q42" s="141">
        <v>361.797</v>
      </c>
      <c r="R42" s="141">
        <f>245.394+123.5</f>
        <v>368.894</v>
      </c>
      <c r="S42" s="141">
        <f>318.954+152.712</f>
        <v>471.666</v>
      </c>
      <c r="T42" s="141">
        <f>338.539+163.39</f>
        <v>501.929</v>
      </c>
      <c r="U42" s="141">
        <f>357.523+175.949</f>
        <v>533.472</v>
      </c>
      <c r="V42" s="141">
        <f>372.601+189.128</f>
        <v>561.729</v>
      </c>
      <c r="W42" s="141">
        <f>383.548+199.934</f>
        <v>583.482</v>
      </c>
      <c r="X42" s="141">
        <f>384.053+201.033</f>
        <v>585.086</v>
      </c>
      <c r="Y42" s="141">
        <f>386.973+208.51</f>
        <v>595.483</v>
      </c>
      <c r="Z42" s="141">
        <v>609.341</v>
      </c>
      <c r="AA42" s="141">
        <v>632.068</v>
      </c>
      <c r="AB42" s="141">
        <v>641.733</v>
      </c>
      <c r="AC42" s="141">
        <v>638.464</v>
      </c>
      <c r="AD42" s="231">
        <v>666.269</v>
      </c>
      <c r="AE42" s="157">
        <f t="shared" si="1"/>
        <v>4.354983209703292</v>
      </c>
      <c r="AF42" s="396" t="s">
        <v>57</v>
      </c>
    </row>
    <row r="43" spans="1:32" ht="12.75" customHeight="1">
      <c r="A43" s="8"/>
      <c r="B43" s="184" t="s">
        <v>43</v>
      </c>
      <c r="C43" s="537"/>
      <c r="D43" s="537"/>
      <c r="E43" s="538">
        <v>1.328</v>
      </c>
      <c r="F43" s="538">
        <v>1.389</v>
      </c>
      <c r="G43" s="538">
        <v>1.157</v>
      </c>
      <c r="H43" s="538">
        <v>1.193</v>
      </c>
      <c r="I43" s="538">
        <v>1.249</v>
      </c>
      <c r="J43" s="538">
        <v>1.295</v>
      </c>
      <c r="K43" s="538">
        <v>1.363</v>
      </c>
      <c r="L43" s="538">
        <v>1.483</v>
      </c>
      <c r="M43" s="538">
        <v>1.544</v>
      </c>
      <c r="N43" s="538">
        <v>1.621</v>
      </c>
      <c r="O43" s="538">
        <v>1.673</v>
      </c>
      <c r="P43" s="538">
        <v>1.711</v>
      </c>
      <c r="Q43" s="538">
        <v>1.699</v>
      </c>
      <c r="R43" s="538">
        <v>1.709</v>
      </c>
      <c r="S43" s="538">
        <v>1.762</v>
      </c>
      <c r="T43" s="538">
        <v>1.899</v>
      </c>
      <c r="U43" s="538">
        <v>1.929</v>
      </c>
      <c r="V43" s="538">
        <v>1.943</v>
      </c>
      <c r="W43" s="538">
        <v>1.955</v>
      </c>
      <c r="X43" s="538">
        <v>1.888</v>
      </c>
      <c r="Y43" s="538">
        <v>1.916</v>
      </c>
      <c r="Z43" s="538">
        <v>1.972</v>
      </c>
      <c r="AA43" s="538">
        <v>2.084</v>
      </c>
      <c r="AB43" s="892">
        <v>2.179</v>
      </c>
      <c r="AC43" s="538">
        <v>2.3</v>
      </c>
      <c r="AD43" s="533">
        <v>2.463</v>
      </c>
      <c r="AE43" s="539">
        <f t="shared" si="1"/>
        <v>7.08695652173914</v>
      </c>
      <c r="AF43" s="540" t="s">
        <v>43</v>
      </c>
    </row>
    <row r="44" spans="1:32" ht="12.75" customHeight="1">
      <c r="A44" s="8"/>
      <c r="B44" s="497" t="s">
        <v>73</v>
      </c>
      <c r="C44" s="200"/>
      <c r="D44" s="200"/>
      <c r="E44" s="140">
        <v>21.222</v>
      </c>
      <c r="F44" s="140">
        <v>23.288</v>
      </c>
      <c r="G44" s="140">
        <v>26.76</v>
      </c>
      <c r="H44" s="140">
        <v>29.134</v>
      </c>
      <c r="I44" s="140">
        <v>30.547</v>
      </c>
      <c r="J44" s="140">
        <v>32.515</v>
      </c>
      <c r="K44" s="140">
        <v>33.959</v>
      </c>
      <c r="L44" s="140">
        <v>35.171</v>
      </c>
      <c r="M44" s="140">
        <v>36.218</v>
      </c>
      <c r="N44" s="140">
        <v>37.039</v>
      </c>
      <c r="O44" s="140">
        <v>36.686</v>
      </c>
      <c r="P44" s="140">
        <v>35.667</v>
      </c>
      <c r="Q44" s="140">
        <v>34.11</v>
      </c>
      <c r="R44" s="140">
        <v>32.374</v>
      </c>
      <c r="S44" s="140">
        <v>30.592</v>
      </c>
      <c r="T44" s="140">
        <v>28.783</v>
      </c>
      <c r="U44" s="140">
        <v>26.954</v>
      </c>
      <c r="V44" s="140">
        <v>25.204</v>
      </c>
      <c r="W44" s="140">
        <v>23.324</v>
      </c>
      <c r="X44" s="140">
        <v>21.474</v>
      </c>
      <c r="Y44" s="140">
        <v>20.348</v>
      </c>
      <c r="Z44" s="140">
        <v>19.24</v>
      </c>
      <c r="AA44" s="140">
        <v>18.22</v>
      </c>
      <c r="AB44" s="140">
        <v>17.584</v>
      </c>
      <c r="AC44" s="140">
        <v>17.111</v>
      </c>
      <c r="AD44" s="207">
        <v>16.668</v>
      </c>
      <c r="AE44" s="156">
        <f t="shared" si="1"/>
        <v>-2.588977850505529</v>
      </c>
      <c r="AF44" s="393" t="s">
        <v>73</v>
      </c>
    </row>
    <row r="45" spans="1:32" ht="12.75" customHeight="1">
      <c r="A45" s="8"/>
      <c r="B45" s="184" t="s">
        <v>44</v>
      </c>
      <c r="C45" s="201"/>
      <c r="D45" s="201"/>
      <c r="E45" s="204">
        <v>31.18</v>
      </c>
      <c r="F45" s="204">
        <v>32.968</v>
      </c>
      <c r="G45" s="204">
        <v>34.136</v>
      </c>
      <c r="H45" s="204">
        <v>34.852</v>
      </c>
      <c r="I45" s="204">
        <v>35.676</v>
      </c>
      <c r="J45" s="204">
        <v>36.517</v>
      </c>
      <c r="K45" s="204">
        <v>37.662</v>
      </c>
      <c r="L45" s="204">
        <v>38.508</v>
      </c>
      <c r="M45" s="204">
        <v>39.012</v>
      </c>
      <c r="N45" s="204">
        <v>39.692</v>
      </c>
      <c r="O45" s="204">
        <v>40.26</v>
      </c>
      <c r="P45" s="204">
        <v>41.342</v>
      </c>
      <c r="Q45" s="204">
        <v>42.401</v>
      </c>
      <c r="R45" s="204">
        <v>43.629</v>
      </c>
      <c r="S45" s="204">
        <v>44.784</v>
      </c>
      <c r="T45" s="204">
        <v>45.785</v>
      </c>
      <c r="U45" s="204">
        <v>46.445</v>
      </c>
      <c r="V45" s="204">
        <v>48.026</v>
      </c>
      <c r="W45" s="204">
        <v>48.536</v>
      </c>
      <c r="X45" s="204">
        <f>50.675</f>
        <v>50.675</v>
      </c>
      <c r="Y45" s="204">
        <v>52.751</v>
      </c>
      <c r="Z45" s="204">
        <v>55.422</v>
      </c>
      <c r="AA45" s="204">
        <v>58.3</v>
      </c>
      <c r="AB45" s="204">
        <v>60.151</v>
      </c>
      <c r="AC45" s="204">
        <v>62.436</v>
      </c>
      <c r="AD45" s="206">
        <v>65.72</v>
      </c>
      <c r="AE45" s="209">
        <f t="shared" si="1"/>
        <v>5.2597860208854</v>
      </c>
      <c r="AF45" s="441" t="s">
        <v>44</v>
      </c>
    </row>
    <row r="46" spans="1:32" ht="12.75" customHeight="1">
      <c r="A46" s="8"/>
      <c r="B46" s="497" t="s">
        <v>83</v>
      </c>
      <c r="C46" s="202"/>
      <c r="D46" s="202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>
        <f>0.225-0.122</f>
        <v>0.10300000000000001</v>
      </c>
      <c r="P46" s="141">
        <f>0.224-0.111</f>
        <v>0.113</v>
      </c>
      <c r="Q46" s="141">
        <f>0.224-0.121</f>
        <v>0.10300000000000001</v>
      </c>
      <c r="R46" s="141">
        <f>0.226-0.127</f>
        <v>0.099</v>
      </c>
      <c r="S46" s="141">
        <f>0.237-0.135</f>
        <v>0.10199999999999998</v>
      </c>
      <c r="T46" s="141">
        <f>0.247-0.142</f>
        <v>0.10500000000000001</v>
      </c>
      <c r="U46" s="141">
        <f>0.239-0.133</f>
        <v>0.10599999999999998</v>
      </c>
      <c r="V46" s="141">
        <f>0.246-0.145</f>
        <v>0.101</v>
      </c>
      <c r="W46" s="141">
        <f>0.266-0.167</f>
        <v>0.099</v>
      </c>
      <c r="X46" s="141">
        <f>0.27-0.142-0.025</f>
        <v>0.10300000000000004</v>
      </c>
      <c r="Y46" s="141">
        <f>0.277-0.147-0.025</f>
        <v>0.10500000000000004</v>
      </c>
      <c r="Z46" s="141">
        <v>0.10499999999999998</v>
      </c>
      <c r="AA46" s="141">
        <v>0.10500000000000001</v>
      </c>
      <c r="AB46" s="141">
        <v>0.10099999999999999</v>
      </c>
      <c r="AC46" s="141">
        <v>0.101</v>
      </c>
      <c r="AD46" s="231">
        <v>0.103</v>
      </c>
      <c r="AE46" s="157">
        <f t="shared" si="1"/>
        <v>1.9801980198019606</v>
      </c>
      <c r="AF46" s="396" t="s">
        <v>83</v>
      </c>
    </row>
    <row r="47" spans="2:32" ht="31.5" customHeight="1">
      <c r="B47" s="1030" t="s">
        <v>202</v>
      </c>
      <c r="C47" s="1030"/>
      <c r="D47" s="1030"/>
      <c r="E47" s="1030"/>
      <c r="F47" s="1030"/>
      <c r="G47" s="1030"/>
      <c r="H47" s="1030"/>
      <c r="I47" s="1030"/>
      <c r="J47" s="1030"/>
      <c r="K47" s="1030"/>
      <c r="L47" s="1030"/>
      <c r="M47" s="1030"/>
      <c r="N47" s="1030"/>
      <c r="O47" s="1030"/>
      <c r="P47" s="1030"/>
      <c r="Q47" s="1030"/>
      <c r="R47" s="1030"/>
      <c r="S47" s="1030"/>
      <c r="T47" s="1030"/>
      <c r="U47" s="1030"/>
      <c r="V47" s="1030"/>
      <c r="W47" s="1030"/>
      <c r="X47" s="1030"/>
      <c r="Y47" s="1030"/>
      <c r="Z47" s="1030"/>
      <c r="AA47" s="1030"/>
      <c r="AB47" s="1030"/>
      <c r="AC47" s="1035"/>
      <c r="AD47" s="1035"/>
      <c r="AE47" s="1030"/>
      <c r="AF47" s="1030"/>
    </row>
    <row r="48" spans="2:32" ht="12.75" customHeight="1">
      <c r="B48" s="1033" t="s">
        <v>176</v>
      </c>
      <c r="C48" s="1027"/>
      <c r="D48" s="1027"/>
      <c r="E48" s="1027"/>
      <c r="F48" s="1027"/>
      <c r="G48" s="1027"/>
      <c r="H48" s="1027"/>
      <c r="I48" s="1027"/>
      <c r="J48" s="1027"/>
      <c r="K48" s="1027"/>
      <c r="L48" s="1027"/>
      <c r="M48" s="1027"/>
      <c r="N48" s="1027"/>
      <c r="O48" s="1027"/>
      <c r="P48" s="1027"/>
      <c r="Q48" s="1027"/>
      <c r="R48" s="1027"/>
      <c r="S48" s="1027"/>
      <c r="T48" s="1027"/>
      <c r="U48" s="1027"/>
      <c r="V48" s="1027"/>
      <c r="W48" s="1027"/>
      <c r="X48" s="1027"/>
      <c r="Y48" s="1027"/>
      <c r="Z48" s="1027"/>
      <c r="AA48" s="1027"/>
      <c r="AB48" s="1027"/>
      <c r="AC48" s="1027"/>
      <c r="AD48" s="1027"/>
      <c r="AE48" s="1027"/>
      <c r="AF48" s="1027"/>
    </row>
    <row r="49" spans="2:32" ht="12.75" customHeight="1">
      <c r="B49" s="1027" t="s">
        <v>177</v>
      </c>
      <c r="C49" s="1027"/>
      <c r="D49" s="1027"/>
      <c r="E49" s="1027"/>
      <c r="F49" s="1027"/>
      <c r="G49" s="1027"/>
      <c r="H49" s="1027"/>
      <c r="I49" s="1027"/>
      <c r="J49" s="1027"/>
      <c r="K49" s="1027"/>
      <c r="L49" s="1027"/>
      <c r="M49" s="1027"/>
      <c r="N49" s="1027"/>
      <c r="O49" s="1027"/>
      <c r="P49" s="1027"/>
      <c r="Q49" s="1027"/>
      <c r="R49" s="1027"/>
      <c r="S49" s="1027"/>
      <c r="T49" s="1027"/>
      <c r="U49" s="1027"/>
      <c r="V49" s="1027"/>
      <c r="W49" s="1027"/>
      <c r="X49" s="1027"/>
      <c r="Y49" s="1027"/>
      <c r="Z49" s="1027"/>
      <c r="AA49" s="1027"/>
      <c r="AB49" s="1027"/>
      <c r="AC49" s="1027"/>
      <c r="AD49" s="1027"/>
      <c r="AE49" s="1027"/>
      <c r="AF49" s="1027"/>
    </row>
    <row r="50" spans="2:32" ht="11.25" customHeight="1">
      <c r="B50" s="1027" t="s">
        <v>178</v>
      </c>
      <c r="C50" s="1027"/>
      <c r="D50" s="1027"/>
      <c r="E50" s="1027"/>
      <c r="F50" s="1027"/>
      <c r="G50" s="1027"/>
      <c r="H50" s="1027"/>
      <c r="I50" s="1027"/>
      <c r="J50" s="1027"/>
      <c r="K50" s="1027"/>
      <c r="L50" s="1027"/>
      <c r="M50" s="1027"/>
      <c r="N50" s="1027"/>
      <c r="O50" s="1027"/>
      <c r="P50" s="1027"/>
      <c r="Q50" s="1027"/>
      <c r="R50" s="1027"/>
      <c r="S50" s="1027"/>
      <c r="T50" s="1027"/>
      <c r="U50" s="1027"/>
      <c r="V50" s="1027"/>
      <c r="W50" s="1027"/>
      <c r="X50" s="1027"/>
      <c r="Y50" s="1027"/>
      <c r="Z50" s="1027"/>
      <c r="AA50" s="1027"/>
      <c r="AB50" s="1027"/>
      <c r="AC50" s="1027"/>
      <c r="AD50" s="1027"/>
      <c r="AE50" s="1027"/>
      <c r="AF50" s="1027"/>
    </row>
  </sheetData>
  <sheetProtection/>
  <mergeCells count="7">
    <mergeCell ref="B48:AF48"/>
    <mergeCell ref="B49:AF49"/>
    <mergeCell ref="B50:AF50"/>
    <mergeCell ref="B1:C1"/>
    <mergeCell ref="B2:AF2"/>
    <mergeCell ref="B3:AF3"/>
    <mergeCell ref="B47:AF47"/>
  </mergeCells>
  <printOptions horizontalCentered="1"/>
  <pageMargins left="0.39" right="0.39" top="0.5118110236220472" bottom="0.2755905511811024" header="0" footer="0"/>
  <pageSetup fitToHeight="1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2">
    <pageSetUpPr fitToPage="1"/>
  </sheetPr>
  <dimension ref="A1:AF54"/>
  <sheetViews>
    <sheetView zoomScalePageLayoutView="0" workbookViewId="0" topLeftCell="A1">
      <selection activeCell="AH20" sqref="AH20"/>
    </sheetView>
  </sheetViews>
  <sheetFormatPr defaultColWidth="9.140625" defaultRowHeight="12.75"/>
  <cols>
    <col min="1" max="1" width="3.7109375" style="3" customWidth="1"/>
    <col min="2" max="2" width="4.00390625" style="3" customWidth="1"/>
    <col min="3" max="3" width="6.7109375" style="2" customWidth="1"/>
    <col min="4" max="5" width="7.57421875" style="2" customWidth="1"/>
    <col min="6" max="18" width="7.57421875" style="3" customWidth="1"/>
    <col min="19" max="19" width="8.7109375" style="3" customWidth="1"/>
    <col min="20" max="20" width="8.57421875" style="3" customWidth="1"/>
    <col min="21" max="28" width="7.7109375" style="3" customWidth="1"/>
    <col min="29" max="29" width="7.7109375" style="2" customWidth="1"/>
    <col min="30" max="30" width="7.7109375" style="3" customWidth="1"/>
    <col min="31" max="31" width="6.00390625" style="3" bestFit="1" customWidth="1"/>
    <col min="32" max="32" width="4.8515625" style="3" customWidth="1"/>
    <col min="33" max="16384" width="9.140625" style="3" customWidth="1"/>
  </cols>
  <sheetData>
    <row r="1" spans="2:32" ht="14.25" customHeight="1">
      <c r="B1" s="1023"/>
      <c r="C1" s="1023"/>
      <c r="D1" s="89"/>
      <c r="E1" s="146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AF1" s="17" t="s">
        <v>149</v>
      </c>
    </row>
    <row r="2" spans="2:32" s="61" customFormat="1" ht="30" customHeight="1">
      <c r="B2" s="1024" t="s">
        <v>14</v>
      </c>
      <c r="C2" s="1024"/>
      <c r="D2" s="1024"/>
      <c r="E2" s="1024"/>
      <c r="F2" s="1024"/>
      <c r="G2" s="1024"/>
      <c r="H2" s="1024"/>
      <c r="I2" s="1024"/>
      <c r="J2" s="1024"/>
      <c r="K2" s="1024"/>
      <c r="L2" s="1024"/>
      <c r="M2" s="1024"/>
      <c r="N2" s="1024"/>
      <c r="O2" s="1024"/>
      <c r="P2" s="1024"/>
      <c r="Q2" s="1024"/>
      <c r="R2" s="1024"/>
      <c r="S2" s="1024"/>
      <c r="T2" s="1024"/>
      <c r="U2" s="1024"/>
      <c r="V2" s="1024"/>
      <c r="W2" s="1024"/>
      <c r="X2" s="1024"/>
      <c r="Y2" s="1024"/>
      <c r="Z2" s="1024"/>
      <c r="AA2" s="1024"/>
      <c r="AB2" s="1024"/>
      <c r="AC2" s="1024"/>
      <c r="AD2" s="1024"/>
      <c r="AE2" s="1024"/>
      <c r="AF2" s="1024"/>
    </row>
    <row r="3" spans="2:32" s="90" customFormat="1" ht="15" customHeight="1">
      <c r="B3" s="1034" t="s">
        <v>112</v>
      </c>
      <c r="C3" s="1034"/>
      <c r="D3" s="1034"/>
      <c r="E3" s="1034"/>
      <c r="F3" s="1034"/>
      <c r="G3" s="1034"/>
      <c r="H3" s="1034"/>
      <c r="I3" s="1034"/>
      <c r="J3" s="1034"/>
      <c r="K3" s="1034"/>
      <c r="L3" s="1034"/>
      <c r="M3" s="1034"/>
      <c r="N3" s="1034"/>
      <c r="O3" s="1034"/>
      <c r="P3" s="1034"/>
      <c r="Q3" s="1034"/>
      <c r="R3" s="1034"/>
      <c r="S3" s="1034"/>
      <c r="T3" s="1034"/>
      <c r="U3" s="1034"/>
      <c r="V3" s="1034"/>
      <c r="W3" s="1034"/>
      <c r="X3" s="1034"/>
      <c r="Y3" s="1034"/>
      <c r="Z3" s="1034"/>
      <c r="AA3" s="1034"/>
      <c r="AB3" s="1034"/>
      <c r="AC3" s="1034"/>
      <c r="AD3" s="1034"/>
      <c r="AE3" s="1034"/>
      <c r="AF3" s="1034"/>
    </row>
    <row r="4" spans="2:32" ht="12.75" customHeight="1">
      <c r="B4" s="4"/>
      <c r="C4" s="4"/>
      <c r="E4" s="192"/>
      <c r="F4" s="192"/>
      <c r="G4" s="192"/>
      <c r="H4" s="192"/>
      <c r="I4" s="192"/>
      <c r="J4" s="23"/>
      <c r="K4" s="23"/>
      <c r="L4" s="23"/>
      <c r="M4" s="23"/>
      <c r="N4" s="23"/>
      <c r="O4" s="23"/>
      <c r="W4" s="35"/>
      <c r="X4" s="35" t="s">
        <v>3</v>
      </c>
      <c r="Y4" s="62"/>
      <c r="Z4" s="62"/>
      <c r="AA4" s="62"/>
      <c r="AB4" s="62"/>
      <c r="AC4" s="62"/>
      <c r="AD4" s="62"/>
      <c r="AF4" s="62"/>
    </row>
    <row r="5" spans="2:32" ht="19.5" customHeight="1">
      <c r="B5" s="110"/>
      <c r="C5" s="97">
        <v>1970</v>
      </c>
      <c r="D5" s="113">
        <v>1980</v>
      </c>
      <c r="E5" s="98">
        <v>1990</v>
      </c>
      <c r="F5" s="98">
        <v>1991</v>
      </c>
      <c r="G5" s="98">
        <v>1992</v>
      </c>
      <c r="H5" s="98">
        <v>1993</v>
      </c>
      <c r="I5" s="98">
        <v>1994</v>
      </c>
      <c r="J5" s="98">
        <v>1995</v>
      </c>
      <c r="K5" s="98">
        <v>1996</v>
      </c>
      <c r="L5" s="98">
        <v>1997</v>
      </c>
      <c r="M5" s="98">
        <v>1998</v>
      </c>
      <c r="N5" s="98">
        <v>1999</v>
      </c>
      <c r="O5" s="98">
        <v>2000</v>
      </c>
      <c r="P5" s="98">
        <v>2001</v>
      </c>
      <c r="Q5" s="98">
        <v>2002</v>
      </c>
      <c r="R5" s="98">
        <v>2003</v>
      </c>
      <c r="S5" s="98">
        <v>2004</v>
      </c>
      <c r="T5" s="98">
        <v>2005</v>
      </c>
      <c r="U5" s="98">
        <v>2006</v>
      </c>
      <c r="V5" s="98">
        <v>2007</v>
      </c>
      <c r="W5" s="98">
        <v>2008</v>
      </c>
      <c r="X5" s="98">
        <v>2009</v>
      </c>
      <c r="Y5" s="98">
        <v>2010</v>
      </c>
      <c r="Z5" s="98">
        <v>2011</v>
      </c>
      <c r="AA5" s="98">
        <v>2012</v>
      </c>
      <c r="AB5" s="98">
        <v>2013</v>
      </c>
      <c r="AC5" s="98">
        <v>2014</v>
      </c>
      <c r="AD5" s="98">
        <v>2015</v>
      </c>
      <c r="AE5" s="112" t="s">
        <v>258</v>
      </c>
      <c r="AF5" s="6"/>
    </row>
    <row r="6" spans="2:32" ht="9.75" customHeight="1">
      <c r="B6" s="111"/>
      <c r="C6" s="142"/>
      <c r="D6" s="114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203" t="s">
        <v>104</v>
      </c>
      <c r="AF6" s="6"/>
    </row>
    <row r="7" spans="2:32" ht="12.75" customHeight="1">
      <c r="B7" s="57" t="s">
        <v>222</v>
      </c>
      <c r="C7" s="572"/>
      <c r="D7" s="904"/>
      <c r="E7" s="573"/>
      <c r="F7" s="574"/>
      <c r="G7" s="574"/>
      <c r="H7" s="574"/>
      <c r="I7" s="574"/>
      <c r="J7" s="574">
        <f aca="true" t="shared" si="0" ref="J7:AA7">SUM(J10:J37)</f>
        <v>22862.21099999999</v>
      </c>
      <c r="K7" s="574">
        <f t="shared" si="0"/>
        <v>23596.626</v>
      </c>
      <c r="L7" s="574">
        <f t="shared" si="0"/>
        <v>24179.090000000007</v>
      </c>
      <c r="M7" s="574">
        <f t="shared" si="0"/>
        <v>25199.804999999997</v>
      </c>
      <c r="N7" s="574">
        <f t="shared" si="0"/>
        <v>26323.076999999997</v>
      </c>
      <c r="O7" s="574">
        <f t="shared" si="0"/>
        <v>27478.414999999997</v>
      </c>
      <c r="P7" s="574">
        <f t="shared" si="0"/>
        <v>28470.711999999996</v>
      </c>
      <c r="Q7" s="574">
        <f t="shared" si="0"/>
        <v>29293.246000000003</v>
      </c>
      <c r="R7" s="574">
        <f t="shared" si="0"/>
        <v>30005.144999999993</v>
      </c>
      <c r="S7" s="575">
        <f t="shared" si="0"/>
        <v>30953.837000000003</v>
      </c>
      <c r="T7" s="575">
        <f t="shared" si="0"/>
        <v>31710.039</v>
      </c>
      <c r="U7" s="574">
        <f t="shared" si="0"/>
        <v>32609.175</v>
      </c>
      <c r="V7" s="574">
        <f t="shared" si="0"/>
        <v>33634.359</v>
      </c>
      <c r="W7" s="575">
        <f t="shared" si="0"/>
        <v>34444.846</v>
      </c>
      <c r="X7" s="574">
        <f t="shared" si="0"/>
        <v>34568.96300000001</v>
      </c>
      <c r="Y7" s="574">
        <f t="shared" si="0"/>
        <v>34858.86</v>
      </c>
      <c r="Z7" s="574">
        <f t="shared" si="0"/>
        <v>35303.615999999995</v>
      </c>
      <c r="AA7" s="574">
        <f t="shared" si="0"/>
        <v>35332.44799999999</v>
      </c>
      <c r="AB7" s="574">
        <f>SUM(AB10:AB37)</f>
        <v>35451.958000000006</v>
      </c>
      <c r="AC7" s="574">
        <f>SUM(AC10:AC37)</f>
        <v>35863.091</v>
      </c>
      <c r="AD7" s="574">
        <f>SUM(AD10:AD37)</f>
        <v>36574.49300000001</v>
      </c>
      <c r="AE7" s="576">
        <f>AD7/AC7*100-100</f>
        <v>1.983660582965399</v>
      </c>
      <c r="AF7" s="57" t="s">
        <v>222</v>
      </c>
    </row>
    <row r="8" spans="2:32" ht="12.75" customHeight="1">
      <c r="B8" s="55" t="s">
        <v>227</v>
      </c>
      <c r="C8" s="577">
        <f aca="true" t="shared" si="1" ref="C8:Y8">SUM(C10,C13:C13,C14,C16,C17:C19,C25,C28:C29,C31,C35:C37,C21)</f>
        <v>6623.695</v>
      </c>
      <c r="D8" s="579">
        <f t="shared" si="1"/>
        <v>10790.015</v>
      </c>
      <c r="E8" s="577">
        <f t="shared" si="1"/>
        <v>17565.367</v>
      </c>
      <c r="F8" s="577">
        <f t="shared" si="1"/>
        <v>18023.110999999997</v>
      </c>
      <c r="G8" s="577">
        <f t="shared" si="1"/>
        <v>18592.089</v>
      </c>
      <c r="H8" s="577">
        <f t="shared" si="1"/>
        <v>19180.989</v>
      </c>
      <c r="I8" s="577">
        <f t="shared" si="1"/>
        <v>19414.449999999997</v>
      </c>
      <c r="J8" s="577">
        <f t="shared" si="1"/>
        <v>19840.412</v>
      </c>
      <c r="K8" s="577">
        <f t="shared" si="1"/>
        <v>20419.894</v>
      </c>
      <c r="L8" s="577">
        <f t="shared" si="1"/>
        <v>20847.640000000003</v>
      </c>
      <c r="M8" s="577">
        <f t="shared" si="1"/>
        <v>21688.096999999998</v>
      </c>
      <c r="N8" s="577">
        <f t="shared" si="1"/>
        <v>22631.257000000005</v>
      </c>
      <c r="O8" s="577">
        <f t="shared" si="1"/>
        <v>23527.174999999996</v>
      </c>
      <c r="P8" s="577">
        <f t="shared" si="1"/>
        <v>24343.17</v>
      </c>
      <c r="Q8" s="577">
        <f t="shared" si="1"/>
        <v>24888.632</v>
      </c>
      <c r="R8" s="577">
        <f t="shared" si="1"/>
        <v>25355.422</v>
      </c>
      <c r="S8" s="578">
        <f t="shared" si="1"/>
        <v>26128.798</v>
      </c>
      <c r="T8" s="578">
        <f t="shared" si="1"/>
        <v>26837.685</v>
      </c>
      <c r="U8" s="577">
        <f t="shared" si="1"/>
        <v>27584.924</v>
      </c>
      <c r="V8" s="577">
        <f t="shared" si="1"/>
        <v>28359.415999999997</v>
      </c>
      <c r="W8" s="578">
        <f t="shared" si="1"/>
        <v>28681.220999999998</v>
      </c>
      <c r="X8" s="577">
        <f t="shared" si="1"/>
        <v>28701.177000000003</v>
      </c>
      <c r="Y8" s="577">
        <f t="shared" si="1"/>
        <v>28859.511000000002</v>
      </c>
      <c r="Z8" s="577">
        <f>SUM(Z10,Z13:Z13,Z14,Z16,Z17:Z19,Z25,Z28:Z29,Z31,Z35:Z37,Z21)</f>
        <v>29103.452</v>
      </c>
      <c r="AA8" s="577">
        <f>SUM(AA10,AA13:AA13,AA14,AA16,AA17:AA19,AA25,AA28:AA29,AA31,AA35:AA37,AA21)</f>
        <v>29037.789999999994</v>
      </c>
      <c r="AB8" s="577">
        <f>SUM(AB10,AB13:AB13,AB14,AB16,AB17:AB19,AB25,AB28:AB29,AB31,AB35:AB37,AB21)</f>
        <v>29013.319999999996</v>
      </c>
      <c r="AC8" s="577">
        <f>SUM(AC10,AC13:AC13,AC14,AC16,AC17:AC19,AC25,AC28:AC29,AC31,AC35:AC37,AC21)</f>
        <v>29258.367000000006</v>
      </c>
      <c r="AD8" s="577">
        <f>SUM(AD10,AD13:AD13,AD14,AD16,AD17:AD19,AD25,AD28:AD29,AD31,AD35:AD37,AD21)</f>
        <v>29715.713</v>
      </c>
      <c r="AE8" s="579">
        <f aca="true" t="shared" si="2" ref="AE8:AE46">AD8/AC8*100-100</f>
        <v>1.56312893334065</v>
      </c>
      <c r="AF8" s="55" t="s">
        <v>227</v>
      </c>
    </row>
    <row r="9" spans="2:32" ht="12.75" customHeight="1">
      <c r="B9" s="56" t="s">
        <v>231</v>
      </c>
      <c r="C9" s="580"/>
      <c r="D9" s="905"/>
      <c r="E9" s="577"/>
      <c r="F9" s="577"/>
      <c r="G9" s="577"/>
      <c r="H9" s="577"/>
      <c r="I9" s="577"/>
      <c r="J9" s="577">
        <f>J7-J8</f>
        <v>3021.798999999988</v>
      </c>
      <c r="K9" s="577">
        <f aca="true" t="shared" si="3" ref="K9:X9">K7-K8</f>
        <v>3176.732</v>
      </c>
      <c r="L9" s="577">
        <f t="shared" si="3"/>
        <v>3331.4500000000044</v>
      </c>
      <c r="M9" s="577">
        <f t="shared" si="3"/>
        <v>3511.7079999999987</v>
      </c>
      <c r="N9" s="577">
        <f t="shared" si="3"/>
        <v>3691.8199999999924</v>
      </c>
      <c r="O9" s="577">
        <f t="shared" si="3"/>
        <v>3951.2400000000016</v>
      </c>
      <c r="P9" s="577">
        <f t="shared" si="3"/>
        <v>4127.541999999998</v>
      </c>
      <c r="Q9" s="577">
        <f t="shared" si="3"/>
        <v>4404.614000000001</v>
      </c>
      <c r="R9" s="577">
        <f t="shared" si="3"/>
        <v>4649.7229999999945</v>
      </c>
      <c r="S9" s="577">
        <f t="shared" si="3"/>
        <v>4825.039000000004</v>
      </c>
      <c r="T9" s="577">
        <f t="shared" si="3"/>
        <v>4872.353999999999</v>
      </c>
      <c r="U9" s="577">
        <f t="shared" si="3"/>
        <v>5024.251</v>
      </c>
      <c r="V9" s="577">
        <f t="shared" si="3"/>
        <v>5274.942999999999</v>
      </c>
      <c r="W9" s="577">
        <f t="shared" si="3"/>
        <v>5763.625</v>
      </c>
      <c r="X9" s="577">
        <f t="shared" si="3"/>
        <v>5867.786000000007</v>
      </c>
      <c r="Y9" s="577">
        <f aca="true" t="shared" si="4" ref="Y9:AD9">Y7-Y8</f>
        <v>5999.348999999998</v>
      </c>
      <c r="Z9" s="577">
        <f t="shared" si="4"/>
        <v>6200.163999999993</v>
      </c>
      <c r="AA9" s="577">
        <f t="shared" si="4"/>
        <v>6294.657999999996</v>
      </c>
      <c r="AB9" s="577">
        <f t="shared" si="4"/>
        <v>6438.63800000001</v>
      </c>
      <c r="AC9" s="577">
        <f t="shared" si="4"/>
        <v>6604.723999999995</v>
      </c>
      <c r="AD9" s="577">
        <f t="shared" si="4"/>
        <v>6858.78000000001</v>
      </c>
      <c r="AE9" s="579">
        <f t="shared" si="2"/>
        <v>3.84658011447587</v>
      </c>
      <c r="AF9" s="56" t="s">
        <v>231</v>
      </c>
    </row>
    <row r="10" spans="1:32" ht="12.75" customHeight="1">
      <c r="A10" s="8"/>
      <c r="B10" s="9" t="s">
        <v>62</v>
      </c>
      <c r="C10" s="581">
        <v>251.405</v>
      </c>
      <c r="D10" s="906">
        <v>299.084</v>
      </c>
      <c r="E10" s="582">
        <v>380.37899999999996</v>
      </c>
      <c r="F10" s="583">
        <v>401.452</v>
      </c>
      <c r="G10" s="583">
        <v>404.325</v>
      </c>
      <c r="H10" s="583">
        <v>426.915</v>
      </c>
      <c r="I10" s="583">
        <v>442.055</v>
      </c>
      <c r="J10" s="583">
        <v>442.463</v>
      </c>
      <c r="K10" s="583">
        <v>457.16</v>
      </c>
      <c r="L10" s="583">
        <v>476.583</v>
      </c>
      <c r="M10" s="583">
        <v>495.464</v>
      </c>
      <c r="N10" s="583">
        <v>524.088</v>
      </c>
      <c r="O10" s="584">
        <v>588.843</v>
      </c>
      <c r="P10" s="583">
        <v>615.037</v>
      </c>
      <c r="Q10" s="583">
        <v>591.383</v>
      </c>
      <c r="R10" s="583">
        <v>610.322</v>
      </c>
      <c r="S10" s="583">
        <v>637.259</v>
      </c>
      <c r="T10" s="583">
        <v>662.346</v>
      </c>
      <c r="U10" s="583">
        <v>678.551</v>
      </c>
      <c r="V10" s="583">
        <f>537.64+106.108+48.04</f>
        <v>691.788</v>
      </c>
      <c r="W10" s="583">
        <f>557.457+106.141+49.088</f>
        <v>712.6859999999999</v>
      </c>
      <c r="X10" s="583">
        <f>572.074+105.372+47.408</f>
        <v>724.8539999999999</v>
      </c>
      <c r="Y10" s="583">
        <f>586.889+111.209+46.663</f>
        <v>744.761</v>
      </c>
      <c r="Z10" s="583">
        <f>610.315+111.249+46.816</f>
        <v>768.3800000000001</v>
      </c>
      <c r="AA10" s="583">
        <f>622.29+109.963+45.999</f>
        <v>778.252</v>
      </c>
      <c r="AB10" s="583">
        <f>641.224+108.78+47.978</f>
        <v>797.982</v>
      </c>
      <c r="AC10" s="583">
        <f>657.398+108.013+48.41</f>
        <v>813.821</v>
      </c>
      <c r="AD10" s="583">
        <f>680.834+107.514+49.741</f>
        <v>838.0889999999999</v>
      </c>
      <c r="AE10" s="585">
        <f t="shared" si="2"/>
        <v>2.981982524412601</v>
      </c>
      <c r="AF10" s="9" t="s">
        <v>62</v>
      </c>
    </row>
    <row r="11" spans="1:32" ht="12.75" customHeight="1">
      <c r="A11" s="8"/>
      <c r="B11" s="55" t="s">
        <v>45</v>
      </c>
      <c r="C11" s="586"/>
      <c r="D11" s="589" t="s">
        <v>82</v>
      </c>
      <c r="E11" s="587">
        <v>161.6</v>
      </c>
      <c r="F11" s="587">
        <v>174.2</v>
      </c>
      <c r="G11" s="587">
        <v>187.4</v>
      </c>
      <c r="H11" s="587">
        <v>203.942</v>
      </c>
      <c r="I11" s="587">
        <v>214.756</v>
      </c>
      <c r="J11" s="587">
        <v>223.17700000000002</v>
      </c>
      <c r="K11" s="587">
        <v>229.84</v>
      </c>
      <c r="L11" s="587">
        <v>232.76600000000002</v>
      </c>
      <c r="M11" s="587">
        <v>242.268</v>
      </c>
      <c r="N11" s="587">
        <v>251.5</v>
      </c>
      <c r="O11" s="587">
        <v>259.39</v>
      </c>
      <c r="P11" s="587">
        <v>269.586</v>
      </c>
      <c r="Q11" s="587">
        <v>279.858</v>
      </c>
      <c r="R11" s="587">
        <v>293.487</v>
      </c>
      <c r="S11" s="587">
        <v>317.681</v>
      </c>
      <c r="T11" s="588">
        <v>333.866</v>
      </c>
      <c r="U11" s="587">
        <v>226.09199999999998</v>
      </c>
      <c r="V11" s="587">
        <v>261.31600000000003</v>
      </c>
      <c r="W11" s="587">
        <v>299.161</v>
      </c>
      <c r="X11" s="587">
        <v>317.808</v>
      </c>
      <c r="Y11" s="587">
        <v>333.5</v>
      </c>
      <c r="Z11" s="587">
        <v>347.561</v>
      </c>
      <c r="AA11" s="587">
        <v>367.029</v>
      </c>
      <c r="AB11" s="587">
        <v>388</v>
      </c>
      <c r="AC11" s="587">
        <v>411.8</v>
      </c>
      <c r="AD11" s="587">
        <v>444.40000000000003</v>
      </c>
      <c r="AE11" s="589">
        <f t="shared" si="2"/>
        <v>7.91646430305974</v>
      </c>
      <c r="AF11" s="55" t="s">
        <v>45</v>
      </c>
    </row>
    <row r="12" spans="1:32" ht="12.75" customHeight="1">
      <c r="A12" s="8"/>
      <c r="B12" s="10" t="s">
        <v>47</v>
      </c>
      <c r="C12" s="590"/>
      <c r="D12" s="907"/>
      <c r="E12" s="591"/>
      <c r="F12" s="592"/>
      <c r="G12" s="592"/>
      <c r="H12" s="592">
        <v>183.964</v>
      </c>
      <c r="I12" s="593">
        <v>199.635</v>
      </c>
      <c r="J12" s="593">
        <v>219.311</v>
      </c>
      <c r="K12" s="593">
        <v>242.959</v>
      </c>
      <c r="L12" s="593">
        <v>265.372</v>
      </c>
      <c r="M12" s="593">
        <v>280.31100000000004</v>
      </c>
      <c r="N12" s="593">
        <v>289.41</v>
      </c>
      <c r="O12" s="593">
        <v>298.286</v>
      </c>
      <c r="P12" s="593">
        <v>321.23499999999996</v>
      </c>
      <c r="Q12" s="593">
        <v>349.495</v>
      </c>
      <c r="R12" s="593">
        <v>365.746</v>
      </c>
      <c r="S12" s="593">
        <v>396.206</v>
      </c>
      <c r="T12" s="593">
        <v>439.161</v>
      </c>
      <c r="U12" s="593">
        <v>490.904</v>
      </c>
      <c r="V12" s="593">
        <v>554.831</v>
      </c>
      <c r="W12" s="593">
        <v>607.4119999999999</v>
      </c>
      <c r="X12" s="593">
        <v>601.767</v>
      </c>
      <c r="Y12" s="593">
        <v>597.966</v>
      </c>
      <c r="Z12" s="593">
        <v>597.2320000000001</v>
      </c>
      <c r="AA12" s="593">
        <v>604.155</v>
      </c>
      <c r="AB12" s="593">
        <f>593.439+7.626</f>
        <v>601.0649999999999</v>
      </c>
      <c r="AC12" s="593">
        <f>608.711+6.621</f>
        <v>615.332</v>
      </c>
      <c r="AD12" s="593">
        <f>646.792+5.283</f>
        <v>652.075</v>
      </c>
      <c r="AE12" s="594">
        <f t="shared" si="2"/>
        <v>5.971248041707568</v>
      </c>
      <c r="AF12" s="10" t="s">
        <v>47</v>
      </c>
    </row>
    <row r="13" spans="1:32" ht="12.75" customHeight="1">
      <c r="A13" s="8"/>
      <c r="B13" s="55" t="s">
        <v>58</v>
      </c>
      <c r="C13" s="586">
        <v>245</v>
      </c>
      <c r="D13" s="589">
        <v>249</v>
      </c>
      <c r="E13" s="587">
        <v>286.613</v>
      </c>
      <c r="F13" s="587">
        <v>298.312</v>
      </c>
      <c r="G13" s="587">
        <v>304.205</v>
      </c>
      <c r="H13" s="587">
        <v>312.274</v>
      </c>
      <c r="I13" s="587">
        <v>322.032</v>
      </c>
      <c r="J13" s="587">
        <v>333.758</v>
      </c>
      <c r="K13" s="587">
        <v>339.897</v>
      </c>
      <c r="L13" s="587">
        <v>345.972</v>
      </c>
      <c r="M13" s="587">
        <v>357.633</v>
      </c>
      <c r="N13" s="587">
        <v>373.258</v>
      </c>
      <c r="O13" s="587">
        <v>384.85</v>
      </c>
      <c r="P13" s="587">
        <v>392.26</v>
      </c>
      <c r="Q13" s="587">
        <v>401.762</v>
      </c>
      <c r="R13" s="587">
        <v>412.813</v>
      </c>
      <c r="S13" s="587">
        <v>436.147</v>
      </c>
      <c r="T13" s="587">
        <v>469.52299999999997</v>
      </c>
      <c r="U13" s="587">
        <v>508.774</v>
      </c>
      <c r="V13" s="587">
        <v>536.55</v>
      </c>
      <c r="W13" s="587">
        <v>531.403</v>
      </c>
      <c r="X13" s="587">
        <v>507.861</v>
      </c>
      <c r="Y13" s="587">
        <v>485.109</v>
      </c>
      <c r="Z13" s="587">
        <v>469.248</v>
      </c>
      <c r="AA13" s="587">
        <v>459.557</v>
      </c>
      <c r="AB13" s="587">
        <f>402.352+29.215+12.858</f>
        <v>444.42499999999995</v>
      </c>
      <c r="AC13" s="587">
        <f>398.066+28.628+12.867</f>
        <v>439.561</v>
      </c>
      <c r="AD13" s="587">
        <f>395.649+28.309+13.127</f>
        <v>437.08500000000004</v>
      </c>
      <c r="AE13" s="589">
        <f t="shared" si="2"/>
        <v>-0.5632892818061634</v>
      </c>
      <c r="AF13" s="55" t="s">
        <v>58</v>
      </c>
    </row>
    <row r="14" spans="1:32" ht="12.75" customHeight="1">
      <c r="A14" s="8"/>
      <c r="B14" s="10" t="s">
        <v>63</v>
      </c>
      <c r="C14" s="595">
        <v>1188</v>
      </c>
      <c r="D14" s="599">
        <v>1511</v>
      </c>
      <c r="E14" s="592">
        <v>1653</v>
      </c>
      <c r="F14" s="592">
        <v>1660</v>
      </c>
      <c r="G14" s="596">
        <v>1849</v>
      </c>
      <c r="H14" s="592">
        <v>2188.983</v>
      </c>
      <c r="I14" s="592">
        <v>2289.4100000000003</v>
      </c>
      <c r="J14" s="592">
        <v>2378.712</v>
      </c>
      <c r="K14" s="596">
        <v>2428.959</v>
      </c>
      <c r="L14" s="592">
        <v>2181.9970000000003</v>
      </c>
      <c r="M14" s="592">
        <v>2267.022</v>
      </c>
      <c r="N14" s="592">
        <v>2361.722</v>
      </c>
      <c r="O14" s="592">
        <v>2419.107</v>
      </c>
      <c r="P14" s="592">
        <v>2427.686</v>
      </c>
      <c r="Q14" s="592">
        <v>2397.622</v>
      </c>
      <c r="R14" s="592">
        <v>2385.0750000000003</v>
      </c>
      <c r="S14" s="592">
        <v>2385.286</v>
      </c>
      <c r="T14" s="596">
        <v>2404.9049999999997</v>
      </c>
      <c r="U14" s="596">
        <v>2471.221</v>
      </c>
      <c r="V14" s="597">
        <v>2502.999</v>
      </c>
      <c r="W14" s="592">
        <v>2523.5609999999997</v>
      </c>
      <c r="X14" s="592">
        <v>2556.01</v>
      </c>
      <c r="Y14" s="592">
        <v>2619.427</v>
      </c>
      <c r="Z14" s="592">
        <v>2712.977</v>
      </c>
      <c r="AA14" s="592">
        <v>2761.396</v>
      </c>
      <c r="AB14" s="592">
        <f>2629.209+184.589</f>
        <v>2813.798</v>
      </c>
      <c r="AC14" s="592">
        <f>2701.343+188.481</f>
        <v>2889.8239999999996</v>
      </c>
      <c r="AD14" s="598">
        <f>2800.78+194.386</f>
        <v>2995.166</v>
      </c>
      <c r="AE14" s="599">
        <f t="shared" si="2"/>
        <v>3.645273899033313</v>
      </c>
      <c r="AF14" s="10" t="s">
        <v>63</v>
      </c>
    </row>
    <row r="15" spans="1:32" ht="12.75" customHeight="1">
      <c r="A15" s="8"/>
      <c r="B15" s="55" t="s">
        <v>48</v>
      </c>
      <c r="C15" s="586"/>
      <c r="D15" s="589">
        <v>51.1</v>
      </c>
      <c r="E15" s="587">
        <v>67.7</v>
      </c>
      <c r="F15" s="587">
        <v>77.1</v>
      </c>
      <c r="G15" s="587">
        <v>74.6</v>
      </c>
      <c r="H15" s="587">
        <v>74.1</v>
      </c>
      <c r="I15" s="587">
        <v>53.7</v>
      </c>
      <c r="J15" s="587">
        <v>65.598</v>
      </c>
      <c r="K15" s="587">
        <v>71.304</v>
      </c>
      <c r="L15" s="587">
        <v>76.605</v>
      </c>
      <c r="M15" s="587">
        <v>80.617</v>
      </c>
      <c r="N15" s="587">
        <v>81.03</v>
      </c>
      <c r="O15" s="587">
        <v>82.119</v>
      </c>
      <c r="P15" s="587">
        <v>80.535</v>
      </c>
      <c r="Q15" s="587">
        <v>80.179</v>
      </c>
      <c r="R15" s="587">
        <v>83.43</v>
      </c>
      <c r="S15" s="587">
        <v>85.732</v>
      </c>
      <c r="T15" s="588">
        <v>86.201</v>
      </c>
      <c r="U15" s="588">
        <v>92.86</v>
      </c>
      <c r="V15" s="587">
        <v>80.28</v>
      </c>
      <c r="W15" s="587">
        <v>83.35</v>
      </c>
      <c r="X15" s="587">
        <v>81.1</v>
      </c>
      <c r="Y15" s="587">
        <v>81.2</v>
      </c>
      <c r="Z15" s="587">
        <v>84.337</v>
      </c>
      <c r="AA15" s="587">
        <v>88.045</v>
      </c>
      <c r="AB15" s="587">
        <v>92.2</v>
      </c>
      <c r="AC15" s="587">
        <v>96.6</v>
      </c>
      <c r="AD15" s="587">
        <v>101.8</v>
      </c>
      <c r="AE15" s="589">
        <f t="shared" si="2"/>
        <v>5.383022774327117</v>
      </c>
      <c r="AF15" s="55" t="s">
        <v>48</v>
      </c>
    </row>
    <row r="16" spans="1:32" ht="12.75" customHeight="1">
      <c r="A16" s="8"/>
      <c r="B16" s="10" t="s">
        <v>66</v>
      </c>
      <c r="C16" s="595">
        <v>49</v>
      </c>
      <c r="D16" s="599">
        <v>65</v>
      </c>
      <c r="E16" s="592">
        <v>143.166</v>
      </c>
      <c r="F16" s="592">
        <v>148.331</v>
      </c>
      <c r="G16" s="592">
        <v>144.798</v>
      </c>
      <c r="H16" s="592">
        <v>135.225</v>
      </c>
      <c r="I16" s="592">
        <v>135.809</v>
      </c>
      <c r="J16" s="592">
        <v>141.785</v>
      </c>
      <c r="K16" s="592">
        <v>146.601</v>
      </c>
      <c r="L16" s="592">
        <v>158.158</v>
      </c>
      <c r="M16" s="592">
        <v>170.866</v>
      </c>
      <c r="N16" s="592">
        <v>188.814</v>
      </c>
      <c r="O16" s="592">
        <v>205.575</v>
      </c>
      <c r="P16" s="592">
        <v>219.51</v>
      </c>
      <c r="Q16" s="592">
        <v>233.069</v>
      </c>
      <c r="R16" s="592">
        <v>251.13</v>
      </c>
      <c r="S16" s="592">
        <v>268.082</v>
      </c>
      <c r="T16" s="592">
        <v>286.548</v>
      </c>
      <c r="U16" s="592">
        <v>318.604</v>
      </c>
      <c r="V16" s="592">
        <v>345.874</v>
      </c>
      <c r="W16" s="592">
        <v>351.307</v>
      </c>
      <c r="X16" s="592">
        <v>343.94</v>
      </c>
      <c r="Y16" s="592">
        <v>327.096</v>
      </c>
      <c r="Z16" s="592">
        <v>320.996</v>
      </c>
      <c r="AA16" s="592">
        <v>309.219</v>
      </c>
      <c r="AB16" s="592">
        <v>317.849</v>
      </c>
      <c r="AC16" s="592">
        <v>317.378</v>
      </c>
      <c r="AD16" s="592">
        <v>330.541</v>
      </c>
      <c r="AE16" s="599">
        <f t="shared" si="2"/>
        <v>4.147420426116483</v>
      </c>
      <c r="AF16" s="10" t="s">
        <v>66</v>
      </c>
    </row>
    <row r="17" spans="1:32" ht="12.75" customHeight="1">
      <c r="A17" s="8"/>
      <c r="B17" s="55" t="s">
        <v>59</v>
      </c>
      <c r="C17" s="586">
        <v>105</v>
      </c>
      <c r="D17" s="589">
        <v>401</v>
      </c>
      <c r="E17" s="587">
        <v>766.429</v>
      </c>
      <c r="F17" s="587">
        <v>792.77</v>
      </c>
      <c r="G17" s="587">
        <v>797.788</v>
      </c>
      <c r="H17" s="587">
        <v>825.697</v>
      </c>
      <c r="I17" s="587">
        <v>849.033</v>
      </c>
      <c r="J17" s="587">
        <v>883.823</v>
      </c>
      <c r="K17" s="587">
        <v>914.827</v>
      </c>
      <c r="L17" s="587">
        <v>951.785</v>
      </c>
      <c r="M17" s="587">
        <v>987.357</v>
      </c>
      <c r="N17" s="587">
        <v>1023.987</v>
      </c>
      <c r="O17" s="587">
        <v>1057.422</v>
      </c>
      <c r="P17" s="587">
        <v>1085.811</v>
      </c>
      <c r="Q17" s="587">
        <v>1109.137</v>
      </c>
      <c r="R17" s="587">
        <v>1131.027</v>
      </c>
      <c r="S17" s="587">
        <v>1159.137</v>
      </c>
      <c r="T17" s="587">
        <v>1186.483</v>
      </c>
      <c r="U17" s="587">
        <v>1219.889</v>
      </c>
      <c r="V17" s="587">
        <v>1255.945</v>
      </c>
      <c r="W17" s="587">
        <v>1289.525</v>
      </c>
      <c r="X17" s="587">
        <v>1302.43</v>
      </c>
      <c r="Y17" s="587">
        <v>1318.768</v>
      </c>
      <c r="Z17" s="587">
        <v>1321.296</v>
      </c>
      <c r="AA17" s="587">
        <v>1318.918</v>
      </c>
      <c r="AB17" s="587">
        <v>1315.836</v>
      </c>
      <c r="AC17" s="587">
        <v>1322.604</v>
      </c>
      <c r="AD17" s="587">
        <v>1332.823</v>
      </c>
      <c r="AE17" s="589">
        <f t="shared" si="2"/>
        <v>0.772642453825938</v>
      </c>
      <c r="AF17" s="55" t="s">
        <v>59</v>
      </c>
    </row>
    <row r="18" spans="1:32" ht="12.75" customHeight="1">
      <c r="A18" s="8"/>
      <c r="B18" s="10" t="s">
        <v>64</v>
      </c>
      <c r="C18" s="595">
        <v>710</v>
      </c>
      <c r="D18" s="599">
        <v>1362.424</v>
      </c>
      <c r="E18" s="592">
        <v>2401.085</v>
      </c>
      <c r="F18" s="592">
        <v>2568.429</v>
      </c>
      <c r="G18" s="592">
        <v>2726.191</v>
      </c>
      <c r="H18" s="592">
        <v>2812.6099999999997</v>
      </c>
      <c r="I18" s="592">
        <v>2905.75</v>
      </c>
      <c r="J18" s="592">
        <v>3024.246</v>
      </c>
      <c r="K18" s="592">
        <v>3151.904</v>
      </c>
      <c r="L18" s="592">
        <v>3310.0950000000003</v>
      </c>
      <c r="M18" s="592">
        <v>3509.7509999999997</v>
      </c>
      <c r="N18" s="592">
        <v>3735.188</v>
      </c>
      <c r="O18" s="592">
        <v>3923.176</v>
      </c>
      <c r="P18" s="592">
        <v>4104.9580000000005</v>
      </c>
      <c r="Q18" s="596">
        <v>4258.889</v>
      </c>
      <c r="R18" s="592">
        <v>4363.4169999999995</v>
      </c>
      <c r="S18" s="592">
        <v>4603.418</v>
      </c>
      <c r="T18" s="592">
        <v>4849.619</v>
      </c>
      <c r="U18" s="592">
        <v>5087.311</v>
      </c>
      <c r="V18" s="592">
        <v>5353.283</v>
      </c>
      <c r="W18" s="592">
        <v>5405.585</v>
      </c>
      <c r="X18" s="592">
        <v>5342.9439999999995</v>
      </c>
      <c r="Y18" s="592">
        <v>5303.465999999999</v>
      </c>
      <c r="Z18" s="592">
        <v>5256.751</v>
      </c>
      <c r="AA18" s="592">
        <f>4984.722+186.964</f>
        <v>5171.686</v>
      </c>
      <c r="AB18" s="592">
        <f>4887.352+182.822</f>
        <v>5070.174</v>
      </c>
      <c r="AC18" s="592">
        <f>4839.484+186.06</f>
        <v>5025.544000000001</v>
      </c>
      <c r="AD18" s="592">
        <f>4851.518+195.657</f>
        <v>5047.175</v>
      </c>
      <c r="AE18" s="599">
        <f t="shared" si="2"/>
        <v>0.4304210648638218</v>
      </c>
      <c r="AF18" s="10" t="s">
        <v>64</v>
      </c>
    </row>
    <row r="19" spans="1:32" ht="12.75" customHeight="1">
      <c r="A19" s="8"/>
      <c r="B19" s="55" t="s">
        <v>65</v>
      </c>
      <c r="C19" s="586">
        <v>1504</v>
      </c>
      <c r="D19" s="589">
        <v>2591</v>
      </c>
      <c r="E19" s="587">
        <v>4840</v>
      </c>
      <c r="F19" s="587">
        <v>4941</v>
      </c>
      <c r="G19" s="587">
        <v>4959</v>
      </c>
      <c r="H19" s="587">
        <v>4989</v>
      </c>
      <c r="I19" s="587">
        <v>5062</v>
      </c>
      <c r="J19" s="587">
        <v>5116</v>
      </c>
      <c r="K19" s="587">
        <v>5173</v>
      </c>
      <c r="L19" s="587">
        <v>5298</v>
      </c>
      <c r="M19" s="587">
        <v>5418</v>
      </c>
      <c r="N19" s="587">
        <v>5530</v>
      </c>
      <c r="O19" s="587">
        <v>5673</v>
      </c>
      <c r="P19" s="587">
        <v>5816</v>
      </c>
      <c r="Q19" s="587">
        <v>5903</v>
      </c>
      <c r="R19" s="587">
        <v>5986</v>
      </c>
      <c r="S19" s="587">
        <v>6057</v>
      </c>
      <c r="T19" s="587">
        <v>6115</v>
      </c>
      <c r="U19" s="587">
        <v>6178</v>
      </c>
      <c r="V19" s="587">
        <v>6250</v>
      </c>
      <c r="W19" s="587">
        <v>6278</v>
      </c>
      <c r="X19" s="587">
        <v>6303</v>
      </c>
      <c r="Y19" s="587">
        <v>6358</v>
      </c>
      <c r="Z19" s="587">
        <v>6431</v>
      </c>
      <c r="AA19" s="587">
        <v>6451</v>
      </c>
      <c r="AB19" s="587">
        <v>6462</v>
      </c>
      <c r="AC19" s="587">
        <v>6519</v>
      </c>
      <c r="AD19" s="587">
        <f>6363+199</f>
        <v>6562</v>
      </c>
      <c r="AE19" s="601">
        <f t="shared" si="2"/>
        <v>0.6596103696886075</v>
      </c>
      <c r="AF19" s="55" t="s">
        <v>65</v>
      </c>
    </row>
    <row r="20" spans="1:32" ht="12.75" customHeight="1">
      <c r="A20" s="8"/>
      <c r="B20" s="10" t="s">
        <v>76</v>
      </c>
      <c r="C20" s="595"/>
      <c r="D20" s="599"/>
      <c r="E20" s="592"/>
      <c r="F20" s="592"/>
      <c r="G20" s="592"/>
      <c r="H20" s="592">
        <v>51.117000000000004</v>
      </c>
      <c r="I20" s="592">
        <v>64.438</v>
      </c>
      <c r="J20" s="592">
        <v>73.497</v>
      </c>
      <c r="K20" s="592">
        <v>94.921</v>
      </c>
      <c r="L20" s="592">
        <v>109.73400000000001</v>
      </c>
      <c r="M20" s="592">
        <v>115.768</v>
      </c>
      <c r="N20" s="592">
        <v>118.70400000000001</v>
      </c>
      <c r="O20" s="592">
        <v>122.516</v>
      </c>
      <c r="P20" s="592">
        <v>129.497</v>
      </c>
      <c r="Q20" s="592">
        <v>138.74300000000002</v>
      </c>
      <c r="R20" s="592">
        <v>148.27499999999998</v>
      </c>
      <c r="S20" s="592">
        <v>154.79</v>
      </c>
      <c r="T20" s="592">
        <v>162.877</v>
      </c>
      <c r="U20" s="592">
        <v>169.69799999999998</v>
      </c>
      <c r="V20" s="592">
        <v>176.703</v>
      </c>
      <c r="W20" s="592">
        <v>180.30100000000002</v>
      </c>
      <c r="X20" s="592">
        <v>164.761</v>
      </c>
      <c r="Y20" s="592">
        <v>157.731</v>
      </c>
      <c r="Z20" s="592">
        <v>154.884</v>
      </c>
      <c r="AA20" s="592">
        <v>141.567</v>
      </c>
      <c r="AB20" s="592">
        <v>141.491</v>
      </c>
      <c r="AC20" s="592">
        <v>143.66</v>
      </c>
      <c r="AD20" s="592">
        <v>149.006</v>
      </c>
      <c r="AE20" s="599">
        <f t="shared" si="2"/>
        <v>3.721286370597255</v>
      </c>
      <c r="AF20" s="10" t="s">
        <v>76</v>
      </c>
    </row>
    <row r="21" spans="1:32" ht="12.75" customHeight="1">
      <c r="A21" s="8"/>
      <c r="B21" s="184" t="s">
        <v>67</v>
      </c>
      <c r="C21" s="602"/>
      <c r="D21" s="601">
        <v>1290.687</v>
      </c>
      <c r="E21" s="603">
        <v>2207.903</v>
      </c>
      <c r="F21" s="603">
        <v>2292.928</v>
      </c>
      <c r="G21" s="603">
        <v>2359.847</v>
      </c>
      <c r="H21" s="603">
        <v>2389.17</v>
      </c>
      <c r="I21" s="603">
        <v>2446.323</v>
      </c>
      <c r="J21" s="603">
        <v>2509.893</v>
      </c>
      <c r="K21" s="603">
        <v>2640.102</v>
      </c>
      <c r="L21" s="603">
        <v>2719.804</v>
      </c>
      <c r="M21" s="603">
        <v>2828.003</v>
      </c>
      <c r="N21" s="603">
        <v>2946.806</v>
      </c>
      <c r="O21" s="603">
        <v>3087.008</v>
      </c>
      <c r="P21" s="603">
        <v>3234.466</v>
      </c>
      <c r="Q21" s="603">
        <v>3429.882</v>
      </c>
      <c r="R21" s="603">
        <v>3590.305</v>
      </c>
      <c r="S21" s="603">
        <v>3645.046</v>
      </c>
      <c r="T21" s="603">
        <v>3785.913</v>
      </c>
      <c r="U21" s="603">
        <v>3914.797</v>
      </c>
      <c r="V21" s="603">
        <v>3996.907</v>
      </c>
      <c r="W21" s="603">
        <v>4072.005</v>
      </c>
      <c r="X21" s="603">
        <v>4102.589</v>
      </c>
      <c r="Y21" s="603">
        <v>4141.791</v>
      </c>
      <c r="Z21" s="603">
        <v>4181.895</v>
      </c>
      <c r="AA21" s="603">
        <v>4143.766</v>
      </c>
      <c r="AB21" s="603">
        <f>3938.026+149.563</f>
        <v>4087.589</v>
      </c>
      <c r="AC21" s="603">
        <f>3930.858+150.086</f>
        <v>4080.9440000000004</v>
      </c>
      <c r="AD21" s="603">
        <f>3943.964+153.858</f>
        <v>4097.822</v>
      </c>
      <c r="AE21" s="601">
        <f t="shared" si="2"/>
        <v>0.41358077934907556</v>
      </c>
      <c r="AF21" s="184" t="s">
        <v>67</v>
      </c>
    </row>
    <row r="22" spans="1:32" ht="12.75" customHeight="1">
      <c r="A22" s="8"/>
      <c r="B22" s="10" t="s">
        <v>46</v>
      </c>
      <c r="C22" s="595"/>
      <c r="D22" s="599">
        <v>23.6</v>
      </c>
      <c r="E22" s="592">
        <v>74.325</v>
      </c>
      <c r="F22" s="592"/>
      <c r="G22" s="592"/>
      <c r="H22" s="592"/>
      <c r="I22" s="592"/>
      <c r="J22" s="592">
        <v>101.184</v>
      </c>
      <c r="K22" s="592">
        <v>104.04</v>
      </c>
      <c r="L22" s="592">
        <v>105.657</v>
      </c>
      <c r="M22" s="592">
        <v>109.294</v>
      </c>
      <c r="N22" s="592">
        <v>111.135</v>
      </c>
      <c r="O22" s="592">
        <v>114.666</v>
      </c>
      <c r="P22" s="592">
        <v>117.947</v>
      </c>
      <c r="Q22" s="592">
        <v>117.792</v>
      </c>
      <c r="R22" s="592">
        <v>119.646</v>
      </c>
      <c r="S22" s="592">
        <v>117.825</v>
      </c>
      <c r="T22" s="592">
        <v>118.355</v>
      </c>
      <c r="U22" s="592">
        <v>115.723</v>
      </c>
      <c r="V22" s="592">
        <v>117.498</v>
      </c>
      <c r="W22" s="592">
        <v>121.779</v>
      </c>
      <c r="X22" s="592">
        <v>124.097</v>
      </c>
      <c r="Y22" s="592">
        <v>120.69</v>
      </c>
      <c r="Z22" s="592">
        <v>118.003</v>
      </c>
      <c r="AA22" s="592">
        <v>113.743</v>
      </c>
      <c r="AB22" s="592">
        <v>109.069</v>
      </c>
      <c r="AC22" s="592">
        <v>104.446</v>
      </c>
      <c r="AD22" s="592">
        <v>103.836</v>
      </c>
      <c r="AE22" s="599">
        <f t="shared" si="2"/>
        <v>-0.5840338548149191</v>
      </c>
      <c r="AF22" s="10" t="s">
        <v>46</v>
      </c>
    </row>
    <row r="23" spans="1:32" ht="12.75" customHeight="1">
      <c r="A23" s="8"/>
      <c r="B23" s="184" t="s">
        <v>50</v>
      </c>
      <c r="C23" s="602"/>
      <c r="D23" s="601"/>
      <c r="E23" s="603"/>
      <c r="F23" s="603"/>
      <c r="G23" s="603"/>
      <c r="H23" s="603"/>
      <c r="I23" s="603">
        <v>66.436</v>
      </c>
      <c r="J23" s="603">
        <v>68.668</v>
      </c>
      <c r="K23" s="603">
        <v>72.909</v>
      </c>
      <c r="L23" s="603">
        <v>76.771</v>
      </c>
      <c r="M23" s="603">
        <v>84.942</v>
      </c>
      <c r="N23" s="603">
        <v>90.22</v>
      </c>
      <c r="O23" s="603">
        <v>97.081</v>
      </c>
      <c r="P23" s="603">
        <v>99.708</v>
      </c>
      <c r="Q23" s="603">
        <v>102.734</v>
      </c>
      <c r="R23" s="603">
        <v>104.626</v>
      </c>
      <c r="S23" s="603">
        <v>107.553</v>
      </c>
      <c r="T23" s="603">
        <v>113.113</v>
      </c>
      <c r="U23" s="603">
        <v>121.12</v>
      </c>
      <c r="V23" s="603">
        <v>129.614</v>
      </c>
      <c r="W23" s="603">
        <v>129.805</v>
      </c>
      <c r="X23" s="603">
        <v>120.571</v>
      </c>
      <c r="Y23" s="604">
        <v>71.575</v>
      </c>
      <c r="Z23" s="603">
        <v>72.622</v>
      </c>
      <c r="AA23" s="603">
        <v>76.303</v>
      </c>
      <c r="AB23" s="603">
        <v>79.899</v>
      </c>
      <c r="AC23" s="603">
        <v>83.205</v>
      </c>
      <c r="AD23" s="603">
        <v>85.998</v>
      </c>
      <c r="AE23" s="601">
        <f t="shared" si="2"/>
        <v>3.35676942491439</v>
      </c>
      <c r="AF23" s="184" t="s">
        <v>50</v>
      </c>
    </row>
    <row r="24" spans="1:32" ht="12.75" customHeight="1">
      <c r="A24" s="8"/>
      <c r="B24" s="10" t="s">
        <v>51</v>
      </c>
      <c r="C24" s="595"/>
      <c r="D24" s="599">
        <v>65.7</v>
      </c>
      <c r="E24" s="592">
        <v>83</v>
      </c>
      <c r="F24" s="605">
        <f>E24+(H24-E24)*1/3</f>
        <v>88.257</v>
      </c>
      <c r="G24" s="605">
        <f>E24+(H24-E24)*2/3</f>
        <v>93.514</v>
      </c>
      <c r="H24" s="592">
        <v>98.771</v>
      </c>
      <c r="I24" s="592">
        <v>101.06</v>
      </c>
      <c r="J24" s="592">
        <v>108.89099999999999</v>
      </c>
      <c r="K24" s="592">
        <v>89.283</v>
      </c>
      <c r="L24" s="592">
        <v>93.66999999999999</v>
      </c>
      <c r="M24" s="592">
        <v>99.454</v>
      </c>
      <c r="N24" s="592">
        <v>96.576</v>
      </c>
      <c r="O24" s="592">
        <v>98.613</v>
      </c>
      <c r="P24" s="592">
        <v>100.38900000000001</v>
      </c>
      <c r="Q24" s="592">
        <v>105.545</v>
      </c>
      <c r="R24" s="592">
        <v>110.517</v>
      </c>
      <c r="S24" s="592">
        <v>115.677</v>
      </c>
      <c r="T24" s="592">
        <v>122.486</v>
      </c>
      <c r="U24" s="592">
        <v>135.546</v>
      </c>
      <c r="V24" s="592">
        <v>147.583</v>
      </c>
      <c r="W24" s="592">
        <v>150.108</v>
      </c>
      <c r="X24" s="592">
        <v>146.32500000000002</v>
      </c>
      <c r="Y24" s="592">
        <v>133.921</v>
      </c>
      <c r="Z24" s="592">
        <v>136.779</v>
      </c>
      <c r="AA24" s="592">
        <v>138.935</v>
      </c>
      <c r="AB24" s="592">
        <f>115.367+27.671</f>
        <v>143.038</v>
      </c>
      <c r="AC24" s="597">
        <f>76.169+23.51</f>
        <v>99.679</v>
      </c>
      <c r="AD24" s="598">
        <f>78.115+24.781</f>
        <v>102.89599999999999</v>
      </c>
      <c r="AE24" s="599">
        <f t="shared" si="2"/>
        <v>3.227359825038363</v>
      </c>
      <c r="AF24" s="10" t="s">
        <v>51</v>
      </c>
    </row>
    <row r="25" spans="1:32" ht="12.75" customHeight="1">
      <c r="A25" s="8"/>
      <c r="B25" s="184" t="s">
        <v>68</v>
      </c>
      <c r="C25" s="602">
        <v>9</v>
      </c>
      <c r="D25" s="601">
        <v>9</v>
      </c>
      <c r="E25" s="603">
        <v>11.275</v>
      </c>
      <c r="F25" s="603">
        <v>12</v>
      </c>
      <c r="G25" s="603">
        <v>13</v>
      </c>
      <c r="H25" s="603">
        <v>14.641</v>
      </c>
      <c r="I25" s="603">
        <v>15.398</v>
      </c>
      <c r="J25" s="603">
        <v>15.794</v>
      </c>
      <c r="K25" s="603">
        <v>18.380000000000003</v>
      </c>
      <c r="L25" s="603">
        <v>19.378</v>
      </c>
      <c r="M25" s="603">
        <v>20.796</v>
      </c>
      <c r="N25" s="603">
        <v>22.563</v>
      </c>
      <c r="O25" s="603">
        <v>24.667</v>
      </c>
      <c r="P25" s="603">
        <v>26.304000000000002</v>
      </c>
      <c r="Q25" s="603">
        <v>26.953</v>
      </c>
      <c r="R25" s="603">
        <v>27.929</v>
      </c>
      <c r="S25" s="603">
        <v>28.426</v>
      </c>
      <c r="T25" s="603">
        <v>29.588</v>
      </c>
      <c r="U25" s="603">
        <v>30.735000000000003</v>
      </c>
      <c r="V25" s="603">
        <v>32.519999999999996</v>
      </c>
      <c r="W25" s="603">
        <v>34.408</v>
      </c>
      <c r="X25" s="603">
        <v>34.736</v>
      </c>
      <c r="Y25" s="603">
        <v>35.628</v>
      </c>
      <c r="Z25" s="603">
        <v>36.813</v>
      </c>
      <c r="AA25" s="603">
        <f>27.046+5.339+4.934</f>
        <v>37.318999999999996</v>
      </c>
      <c r="AB25" s="603">
        <f>27.635+5.298+4.726</f>
        <v>37.659</v>
      </c>
      <c r="AC25" s="603">
        <f>28.521+5.311+4.602</f>
        <v>38.434</v>
      </c>
      <c r="AD25" s="603">
        <f>29.668+5.404+4.502</f>
        <v>39.574000000000005</v>
      </c>
      <c r="AE25" s="601">
        <f t="shared" si="2"/>
        <v>2.9661237446011484</v>
      </c>
      <c r="AF25" s="184" t="s">
        <v>68</v>
      </c>
    </row>
    <row r="26" spans="1:32" ht="12.75" customHeight="1">
      <c r="A26" s="8"/>
      <c r="B26" s="10" t="s">
        <v>49</v>
      </c>
      <c r="C26" s="595"/>
      <c r="D26" s="599">
        <v>197</v>
      </c>
      <c r="E26" s="592">
        <v>262</v>
      </c>
      <c r="F26" s="592"/>
      <c r="G26" s="592"/>
      <c r="H26" s="592"/>
      <c r="I26" s="592"/>
      <c r="J26" s="606">
        <v>277.97400000000005</v>
      </c>
      <c r="K26" s="607">
        <v>282.204</v>
      </c>
      <c r="L26" s="607">
        <v>295.383</v>
      </c>
      <c r="M26" s="607">
        <v>319.779</v>
      </c>
      <c r="N26" s="607">
        <v>332.503</v>
      </c>
      <c r="O26" s="607">
        <v>352.628</v>
      </c>
      <c r="P26" s="607">
        <v>366.213</v>
      </c>
      <c r="Q26" s="607">
        <v>381.432</v>
      </c>
      <c r="R26" s="607">
        <v>392.029</v>
      </c>
      <c r="S26" s="607">
        <v>395.96200000000005</v>
      </c>
      <c r="T26" s="607">
        <v>412.92100000000005</v>
      </c>
      <c r="U26" s="607">
        <v>429.457</v>
      </c>
      <c r="V26" s="607">
        <v>444.495</v>
      </c>
      <c r="W26" s="607">
        <v>455.891</v>
      </c>
      <c r="X26" s="607">
        <v>452.523</v>
      </c>
      <c r="Y26" s="607">
        <v>451.321</v>
      </c>
      <c r="Z26" s="607">
        <f>402.501+50.262</f>
        <v>452.763</v>
      </c>
      <c r="AA26" s="607">
        <f>401.723+52.596</f>
        <v>454.319</v>
      </c>
      <c r="AB26" s="607">
        <f>406.56+56.089</f>
        <v>462.649</v>
      </c>
      <c r="AC26" s="983">
        <f>417.536+60.875</f>
        <v>478.411</v>
      </c>
      <c r="AD26" s="607">
        <f>431.795+64.442</f>
        <v>496.237</v>
      </c>
      <c r="AE26" s="599">
        <f t="shared" si="2"/>
        <v>3.7260848935329705</v>
      </c>
      <c r="AF26" s="10" t="s">
        <v>49</v>
      </c>
    </row>
    <row r="27" spans="1:32" ht="12.75" customHeight="1">
      <c r="A27" s="8"/>
      <c r="B27" s="184" t="s">
        <v>52</v>
      </c>
      <c r="C27" s="602"/>
      <c r="D27" s="601" t="s">
        <v>82</v>
      </c>
      <c r="E27" s="603" t="s">
        <v>82</v>
      </c>
      <c r="F27" s="603"/>
      <c r="G27" s="603"/>
      <c r="H27" s="603">
        <v>34.024</v>
      </c>
      <c r="I27" s="603">
        <v>37.601</v>
      </c>
      <c r="J27" s="603">
        <v>40.835</v>
      </c>
      <c r="K27" s="603">
        <v>38.431</v>
      </c>
      <c r="L27" s="603">
        <v>46.312</v>
      </c>
      <c r="M27" s="603">
        <v>48.403</v>
      </c>
      <c r="N27" s="603">
        <v>50.047</v>
      </c>
      <c r="O27" s="603">
        <v>51.463</v>
      </c>
      <c r="P27" s="603">
        <v>43.663</v>
      </c>
      <c r="Q27" s="603">
        <v>43.852000000000004</v>
      </c>
      <c r="R27" s="603">
        <v>44.657</v>
      </c>
      <c r="S27" s="603">
        <v>44.575</v>
      </c>
      <c r="T27" s="603">
        <v>44.371</v>
      </c>
      <c r="U27" s="603">
        <v>45.505</v>
      </c>
      <c r="V27" s="603">
        <v>46.853</v>
      </c>
      <c r="W27" s="603">
        <v>48.21</v>
      </c>
      <c r="X27" s="603">
        <v>47.212</v>
      </c>
      <c r="Y27" s="604">
        <f>41.257+1.197</f>
        <v>42.454</v>
      </c>
      <c r="Z27" s="603">
        <f>41.391+1.148</f>
        <v>42.539</v>
      </c>
      <c r="AA27" s="603">
        <f>41.155+1.09</f>
        <v>42.245000000000005</v>
      </c>
      <c r="AB27" s="603">
        <f>41.72+1.13</f>
        <v>42.85</v>
      </c>
      <c r="AC27" s="603">
        <f>42.177+1.157</f>
        <v>43.334</v>
      </c>
      <c r="AD27" s="603">
        <f>43.026+1.125</f>
        <v>44.151</v>
      </c>
      <c r="AE27" s="601">
        <f t="shared" si="2"/>
        <v>1.8853556099137023</v>
      </c>
      <c r="AF27" s="184" t="s">
        <v>52</v>
      </c>
    </row>
    <row r="28" spans="1:32" ht="12.75" customHeight="1">
      <c r="A28" s="8"/>
      <c r="B28" s="10" t="s">
        <v>60</v>
      </c>
      <c r="C28" s="595">
        <v>286</v>
      </c>
      <c r="D28" s="599">
        <v>314</v>
      </c>
      <c r="E28" s="592">
        <v>553</v>
      </c>
      <c r="F28" s="592">
        <v>578</v>
      </c>
      <c r="G28" s="592">
        <v>619</v>
      </c>
      <c r="H28" s="592">
        <v>641</v>
      </c>
      <c r="I28" s="592">
        <v>644</v>
      </c>
      <c r="J28" s="592">
        <v>654</v>
      </c>
      <c r="K28" s="592">
        <v>684</v>
      </c>
      <c r="L28" s="592">
        <v>727</v>
      </c>
      <c r="M28" s="592">
        <v>795</v>
      </c>
      <c r="N28" s="592">
        <v>836.047</v>
      </c>
      <c r="O28" s="592">
        <v>898.9979999999999</v>
      </c>
      <c r="P28" s="592">
        <v>942.3130000000001</v>
      </c>
      <c r="Q28" s="592">
        <v>980.267</v>
      </c>
      <c r="R28" s="592">
        <v>1009.642</v>
      </c>
      <c r="S28" s="592">
        <v>1035.593</v>
      </c>
      <c r="T28" s="592">
        <v>1004.5060000000001</v>
      </c>
      <c r="U28" s="592">
        <v>995.733</v>
      </c>
      <c r="V28" s="592">
        <v>1010.402</v>
      </c>
      <c r="W28" s="592">
        <v>1025.906</v>
      </c>
      <c r="X28" s="592">
        <v>1017.2829999999999</v>
      </c>
      <c r="Y28" s="592">
        <v>1003.9649999999999</v>
      </c>
      <c r="Z28" s="592">
        <v>990.698</v>
      </c>
      <c r="AA28" s="592">
        <v>969.639</v>
      </c>
      <c r="AB28" s="592">
        <f>815.169+65.046+71.063</f>
        <v>951.278</v>
      </c>
      <c r="AC28" s="592">
        <f>814.954+63.356+70.533</f>
        <v>948.843</v>
      </c>
      <c r="AD28" s="592">
        <f>828.383+62.436+72.245</f>
        <v>963.0640000000001</v>
      </c>
      <c r="AE28" s="599">
        <f t="shared" si="2"/>
        <v>1.4987727158233923</v>
      </c>
      <c r="AF28" s="10" t="s">
        <v>60</v>
      </c>
    </row>
    <row r="29" spans="1:32" ht="12.75" customHeight="1">
      <c r="A29" s="8"/>
      <c r="B29" s="184" t="s">
        <v>69</v>
      </c>
      <c r="C29" s="602">
        <v>122.29</v>
      </c>
      <c r="D29" s="601">
        <v>189.25</v>
      </c>
      <c r="E29" s="603">
        <v>261.84</v>
      </c>
      <c r="F29" s="603">
        <v>269.279</v>
      </c>
      <c r="G29" s="603">
        <v>279.945</v>
      </c>
      <c r="H29" s="603">
        <v>286.67900000000003</v>
      </c>
      <c r="I29" s="603">
        <v>294.92499999999995</v>
      </c>
      <c r="J29" s="603">
        <v>302.90700000000004</v>
      </c>
      <c r="K29" s="603">
        <v>306.917</v>
      </c>
      <c r="L29" s="603">
        <v>315.058</v>
      </c>
      <c r="M29" s="603">
        <v>325.335</v>
      </c>
      <c r="N29" s="603">
        <v>335.772</v>
      </c>
      <c r="O29" s="603">
        <v>344.466</v>
      </c>
      <c r="P29" s="608">
        <v>349.67</v>
      </c>
      <c r="Q29" s="603">
        <v>338.794</v>
      </c>
      <c r="R29" s="603">
        <v>345.621</v>
      </c>
      <c r="S29" s="603">
        <v>353.055</v>
      </c>
      <c r="T29" s="603">
        <v>358.049</v>
      </c>
      <c r="U29" s="603">
        <v>364.32300000000004</v>
      </c>
      <c r="V29" s="603">
        <v>372.64500000000004</v>
      </c>
      <c r="W29" s="603">
        <v>381.338</v>
      </c>
      <c r="X29" s="603">
        <v>387.972</v>
      </c>
      <c r="Y29" s="603">
        <v>396.78799999999995</v>
      </c>
      <c r="Z29" s="603">
        <v>407.452</v>
      </c>
      <c r="AA29" s="603">
        <v>416.535</v>
      </c>
      <c r="AB29" s="603">
        <f>408.56+16.192</f>
        <v>424.752</v>
      </c>
      <c r="AC29" s="603">
        <f>418.594+16.321</f>
        <v>434.915</v>
      </c>
      <c r="AD29" s="603">
        <f>427.515+16.508</f>
        <v>444.02299999999997</v>
      </c>
      <c r="AE29" s="601">
        <f t="shared" si="2"/>
        <v>2.094202315394938</v>
      </c>
      <c r="AF29" s="184" t="s">
        <v>69</v>
      </c>
    </row>
    <row r="30" spans="1:32" ht="12.75" customHeight="1">
      <c r="A30" s="8"/>
      <c r="B30" s="10" t="s">
        <v>53</v>
      </c>
      <c r="C30" s="595"/>
      <c r="D30" s="599" t="s">
        <v>82</v>
      </c>
      <c r="E30" s="592" t="s">
        <v>82</v>
      </c>
      <c r="F30" s="592"/>
      <c r="G30" s="592"/>
      <c r="H30" s="592">
        <v>999.845</v>
      </c>
      <c r="I30" s="592">
        <v>1053.979</v>
      </c>
      <c r="J30" s="592">
        <v>1354.099</v>
      </c>
      <c r="K30" s="592">
        <v>1431.357</v>
      </c>
      <c r="L30" s="592">
        <v>1487.4389999999999</v>
      </c>
      <c r="M30" s="592">
        <v>1562.814</v>
      </c>
      <c r="N30" s="592">
        <v>1682.887</v>
      </c>
      <c r="O30" s="592">
        <v>1879.068</v>
      </c>
      <c r="P30" s="592">
        <v>1979.293</v>
      </c>
      <c r="Q30" s="592">
        <v>2162.614</v>
      </c>
      <c r="R30" s="592">
        <v>2313.4190000000003</v>
      </c>
      <c r="S30" s="592">
        <v>2391.605</v>
      </c>
      <c r="T30" s="592">
        <v>2304.505</v>
      </c>
      <c r="U30" s="592">
        <v>2392.658</v>
      </c>
      <c r="V30" s="592">
        <v>2520.5480000000002</v>
      </c>
      <c r="W30" s="592">
        <v>2709.697</v>
      </c>
      <c r="X30" s="592">
        <v>2796.7670000000003</v>
      </c>
      <c r="Y30" s="592">
        <v>2981.616</v>
      </c>
      <c r="Z30" s="592">
        <v>3130.729</v>
      </c>
      <c r="AA30" s="592">
        <v>3178.005</v>
      </c>
      <c r="AB30" s="592">
        <f>2962.064+280.42</f>
        <v>3242.484</v>
      </c>
      <c r="AC30" s="592">
        <f>3037.427+303.189</f>
        <v>3340.616</v>
      </c>
      <c r="AD30" s="592">
        <f>3098.376+329.589</f>
        <v>3427.965</v>
      </c>
      <c r="AE30" s="599">
        <f t="shared" si="2"/>
        <v>2.6147572782983843</v>
      </c>
      <c r="AF30" s="10" t="s">
        <v>53</v>
      </c>
    </row>
    <row r="31" spans="1:32" ht="12.75" customHeight="1">
      <c r="A31" s="8"/>
      <c r="B31" s="184" t="s">
        <v>70</v>
      </c>
      <c r="C31" s="602">
        <v>157</v>
      </c>
      <c r="D31" s="601">
        <v>350</v>
      </c>
      <c r="E31" s="603">
        <v>781</v>
      </c>
      <c r="F31" s="603">
        <v>847</v>
      </c>
      <c r="G31" s="603">
        <v>928</v>
      </c>
      <c r="H31" s="608">
        <v>1011</v>
      </c>
      <c r="I31" s="603">
        <v>868.246</v>
      </c>
      <c r="J31" s="603">
        <v>912.29</v>
      </c>
      <c r="K31" s="603">
        <v>969.699</v>
      </c>
      <c r="L31" s="603">
        <v>1076.556</v>
      </c>
      <c r="M31" s="603">
        <v>1105.287</v>
      </c>
      <c r="N31" s="603">
        <v>1232.312</v>
      </c>
      <c r="O31" s="603">
        <v>1313.223</v>
      </c>
      <c r="P31" s="603">
        <v>1401.305</v>
      </c>
      <c r="Q31" s="603">
        <v>1377.335</v>
      </c>
      <c r="R31" s="603">
        <v>1256.858</v>
      </c>
      <c r="S31" s="609">
        <v>1300</v>
      </c>
      <c r="T31" s="609">
        <v>1308</v>
      </c>
      <c r="U31" s="603">
        <v>1320</v>
      </c>
      <c r="V31" s="603">
        <v>1333</v>
      </c>
      <c r="W31" s="609">
        <v>1335</v>
      </c>
      <c r="X31" s="603">
        <v>1337</v>
      </c>
      <c r="Y31" s="603">
        <v>1337</v>
      </c>
      <c r="Z31" s="603">
        <v>1335.5</v>
      </c>
      <c r="AA31" s="603">
        <f>1170+125</f>
        <v>1295</v>
      </c>
      <c r="AB31" s="603">
        <v>1258.3999999999999</v>
      </c>
      <c r="AC31" s="603">
        <f>1118+119</f>
        <v>1237</v>
      </c>
      <c r="AD31" s="603">
        <f>1110+119</f>
        <v>1229</v>
      </c>
      <c r="AE31" s="601">
        <f t="shared" si="2"/>
        <v>-0.6467259498787286</v>
      </c>
      <c r="AF31" s="184" t="s">
        <v>70</v>
      </c>
    </row>
    <row r="32" spans="1:32" ht="12.75" customHeight="1">
      <c r="A32" s="8"/>
      <c r="B32" s="10" t="s">
        <v>54</v>
      </c>
      <c r="C32" s="595"/>
      <c r="D32" s="599">
        <v>250</v>
      </c>
      <c r="E32" s="592">
        <v>258.701</v>
      </c>
      <c r="F32" s="592">
        <v>259.566</v>
      </c>
      <c r="G32" s="592">
        <v>275.487</v>
      </c>
      <c r="H32" s="592">
        <v>298.318</v>
      </c>
      <c r="I32" s="592">
        <v>322.417</v>
      </c>
      <c r="J32" s="592">
        <v>343.064</v>
      </c>
      <c r="K32" s="592">
        <v>376.817</v>
      </c>
      <c r="L32" s="592">
        <v>390.181</v>
      </c>
      <c r="M32" s="592">
        <v>405.743</v>
      </c>
      <c r="N32" s="592">
        <v>417.78</v>
      </c>
      <c r="O32" s="592">
        <v>427.152</v>
      </c>
      <c r="P32" s="592">
        <v>437.968</v>
      </c>
      <c r="Q32" s="592">
        <v>447.299</v>
      </c>
      <c r="R32" s="592">
        <v>463.099</v>
      </c>
      <c r="S32" s="592">
        <v>482.425</v>
      </c>
      <c r="T32" s="592">
        <v>493.821</v>
      </c>
      <c r="U32" s="596">
        <v>545.3</v>
      </c>
      <c r="V32" s="592">
        <v>501.957</v>
      </c>
      <c r="W32" s="592">
        <v>645.34</v>
      </c>
      <c r="X32" s="592">
        <v>661.9</v>
      </c>
      <c r="Y32" s="592">
        <v>667.219</v>
      </c>
      <c r="Z32" s="592">
        <v>696.26</v>
      </c>
      <c r="AA32" s="592">
        <v>719.926</v>
      </c>
      <c r="AB32" s="592">
        <v>761.554</v>
      </c>
      <c r="AC32" s="592">
        <f>712.317+94.206</f>
        <v>806.523</v>
      </c>
      <c r="AD32" s="592">
        <f>750.497+105.76</f>
        <v>856.257</v>
      </c>
      <c r="AE32" s="599">
        <f t="shared" si="2"/>
        <v>6.166470144062842</v>
      </c>
      <c r="AF32" s="10" t="s">
        <v>54</v>
      </c>
    </row>
    <row r="33" spans="1:32" ht="12.75" customHeight="1">
      <c r="A33" s="8"/>
      <c r="B33" s="184" t="s">
        <v>56</v>
      </c>
      <c r="C33" s="602">
        <v>15.946</v>
      </c>
      <c r="D33" s="601">
        <v>28.455</v>
      </c>
      <c r="E33" s="603">
        <v>30.767</v>
      </c>
      <c r="F33" s="608">
        <v>30.772</v>
      </c>
      <c r="G33" s="603">
        <v>34.535000000000004</v>
      </c>
      <c r="H33" s="603">
        <v>36.976000000000006</v>
      </c>
      <c r="I33" s="603">
        <v>38.852000000000004</v>
      </c>
      <c r="J33" s="603">
        <v>42.867</v>
      </c>
      <c r="K33" s="603">
        <v>45.589</v>
      </c>
      <c r="L33" s="603">
        <v>47.88</v>
      </c>
      <c r="M33" s="603">
        <v>49.513000000000005</v>
      </c>
      <c r="N33" s="603">
        <v>51.741</v>
      </c>
      <c r="O33" s="603">
        <v>54.263</v>
      </c>
      <c r="P33" s="603">
        <v>56.114999999999995</v>
      </c>
      <c r="Q33" s="603">
        <v>57.9</v>
      </c>
      <c r="R33" s="603">
        <v>59.801</v>
      </c>
      <c r="S33" s="603">
        <v>63.178</v>
      </c>
      <c r="T33" s="603">
        <v>66.447</v>
      </c>
      <c r="U33" s="603">
        <v>70.132</v>
      </c>
      <c r="V33" s="603">
        <v>77.568</v>
      </c>
      <c r="W33" s="603">
        <v>83.909</v>
      </c>
      <c r="X33" s="603">
        <v>83.633</v>
      </c>
      <c r="Y33" s="603">
        <v>84.107</v>
      </c>
      <c r="Z33" s="603">
        <v>84.644</v>
      </c>
      <c r="AA33" s="603">
        <v>84.408</v>
      </c>
      <c r="AB33" s="895">
        <f>68.264+9.638+7.036</f>
        <v>84.938</v>
      </c>
      <c r="AC33" s="603">
        <f>77.103+10.162</f>
        <v>87.265</v>
      </c>
      <c r="AD33" s="603">
        <f>79.95+11.326</f>
        <v>91.27600000000001</v>
      </c>
      <c r="AE33" s="601">
        <f t="shared" si="2"/>
        <v>4.596344467999785</v>
      </c>
      <c r="AF33" s="184" t="s">
        <v>56</v>
      </c>
    </row>
    <row r="34" spans="1:32" ht="12.75" customHeight="1">
      <c r="A34" s="8"/>
      <c r="B34" s="10" t="s">
        <v>55</v>
      </c>
      <c r="C34" s="590"/>
      <c r="D34" s="907"/>
      <c r="E34" s="591">
        <v>91.994</v>
      </c>
      <c r="F34" s="592">
        <v>95.336</v>
      </c>
      <c r="G34" s="592">
        <v>102.295</v>
      </c>
      <c r="H34" s="592">
        <v>101.552</v>
      </c>
      <c r="I34" s="592">
        <v>102.47</v>
      </c>
      <c r="J34" s="592">
        <v>102.634</v>
      </c>
      <c r="K34" s="592">
        <v>97.078</v>
      </c>
      <c r="L34" s="592">
        <v>103.68</v>
      </c>
      <c r="M34" s="592">
        <v>112.802</v>
      </c>
      <c r="N34" s="592">
        <v>118.28699999999999</v>
      </c>
      <c r="O34" s="592">
        <v>113.995</v>
      </c>
      <c r="P34" s="592">
        <v>125.393</v>
      </c>
      <c r="Q34" s="592">
        <v>137.171</v>
      </c>
      <c r="R34" s="592">
        <v>150.99099999999999</v>
      </c>
      <c r="S34" s="592">
        <v>151.83</v>
      </c>
      <c r="T34" s="592">
        <v>174.23</v>
      </c>
      <c r="U34" s="592">
        <v>189.256</v>
      </c>
      <c r="V34" s="592">
        <v>215.697</v>
      </c>
      <c r="W34" s="592">
        <v>248.66199999999998</v>
      </c>
      <c r="X34" s="592">
        <v>269.322</v>
      </c>
      <c r="Y34" s="592">
        <v>276.04900000000004</v>
      </c>
      <c r="Z34" s="592">
        <v>281.81100000000004</v>
      </c>
      <c r="AA34" s="592">
        <v>285.978</v>
      </c>
      <c r="AB34" s="592">
        <f>261.84+27.561</f>
        <v>289.40099999999995</v>
      </c>
      <c r="AC34" s="592">
        <f>265.424+28.429</f>
        <v>293.85299999999995</v>
      </c>
      <c r="AD34" s="592">
        <f>272.955+29.928</f>
        <v>302.883</v>
      </c>
      <c r="AE34" s="599">
        <f t="shared" si="2"/>
        <v>3.0729650539555564</v>
      </c>
      <c r="AF34" s="10" t="s">
        <v>55</v>
      </c>
    </row>
    <row r="35" spans="1:32" ht="12.75" customHeight="1">
      <c r="A35" s="8"/>
      <c r="B35" s="184" t="s">
        <v>71</v>
      </c>
      <c r="C35" s="602">
        <v>103</v>
      </c>
      <c r="D35" s="601">
        <v>149</v>
      </c>
      <c r="E35" s="603">
        <v>264.157</v>
      </c>
      <c r="F35" s="603">
        <v>263.8</v>
      </c>
      <c r="G35" s="603">
        <v>263</v>
      </c>
      <c r="H35" s="603">
        <v>253.109</v>
      </c>
      <c r="I35" s="603">
        <v>246.553</v>
      </c>
      <c r="J35" s="603">
        <v>252.032</v>
      </c>
      <c r="K35" s="603">
        <v>258.697</v>
      </c>
      <c r="L35" s="603">
        <v>266.944</v>
      </c>
      <c r="M35" s="603">
        <v>280.61</v>
      </c>
      <c r="N35" s="603">
        <v>293.707</v>
      </c>
      <c r="O35" s="603">
        <v>304.318</v>
      </c>
      <c r="P35" s="603">
        <v>312.557</v>
      </c>
      <c r="Q35" s="603">
        <v>319.699</v>
      </c>
      <c r="R35" s="603">
        <v>327.122</v>
      </c>
      <c r="S35" s="603">
        <v>355.16400000000004</v>
      </c>
      <c r="T35" s="603">
        <v>363.644</v>
      </c>
      <c r="U35" s="603">
        <v>376.092</v>
      </c>
      <c r="V35" s="603">
        <f>394.718</f>
        <v>394.718</v>
      </c>
      <c r="W35" s="603">
        <f>424.498</f>
        <v>424.498</v>
      </c>
      <c r="X35" s="603">
        <f>443.912</f>
        <v>443.912</v>
      </c>
      <c r="Y35" s="603">
        <f>464.408</f>
        <v>464.408</v>
      </c>
      <c r="Z35" s="603">
        <f>488.939</f>
        <v>488.939</v>
      </c>
      <c r="AA35" s="603">
        <f>508.011</f>
        <v>508.011</v>
      </c>
      <c r="AB35" s="894">
        <f>391.952+134.146</f>
        <v>526.098</v>
      </c>
      <c r="AC35" s="603">
        <f>404.817+138.077</f>
        <v>542.894</v>
      </c>
      <c r="AD35" s="603">
        <f>418.87+142.02</f>
        <v>560.89</v>
      </c>
      <c r="AE35" s="601">
        <f t="shared" si="2"/>
        <v>3.3148275722332414</v>
      </c>
      <c r="AF35" s="184" t="s">
        <v>71</v>
      </c>
    </row>
    <row r="36" spans="1:32" ht="12.75" customHeight="1">
      <c r="A36" s="8"/>
      <c r="B36" s="10" t="s">
        <v>72</v>
      </c>
      <c r="C36" s="595">
        <v>145</v>
      </c>
      <c r="D36" s="599">
        <v>181.57</v>
      </c>
      <c r="E36" s="592">
        <v>309.52</v>
      </c>
      <c r="F36" s="592">
        <v>309.81</v>
      </c>
      <c r="G36" s="592">
        <v>304.99</v>
      </c>
      <c r="H36" s="592">
        <v>305.68600000000004</v>
      </c>
      <c r="I36" s="592">
        <v>307.916</v>
      </c>
      <c r="J36" s="592">
        <v>307.709</v>
      </c>
      <c r="K36" s="592">
        <v>311.751</v>
      </c>
      <c r="L36" s="592">
        <v>321.31</v>
      </c>
      <c r="M36" s="592">
        <v>337.973</v>
      </c>
      <c r="N36" s="592">
        <v>354.293</v>
      </c>
      <c r="O36" s="592">
        <v>374.222</v>
      </c>
      <c r="P36" s="592">
        <v>395.693</v>
      </c>
      <c r="Q36" s="592">
        <v>408.94</v>
      </c>
      <c r="R36" s="592">
        <v>421.561</v>
      </c>
      <c r="S36" s="592">
        <v>439.985</v>
      </c>
      <c r="T36" s="592">
        <v>461.161</v>
      </c>
      <c r="U36" s="592">
        <v>479.794</v>
      </c>
      <c r="V36" s="592">
        <v>504.085</v>
      </c>
      <c r="W36" s="592">
        <v>510.199</v>
      </c>
      <c r="X36" s="592">
        <v>514.576</v>
      </c>
      <c r="Y36" s="592">
        <v>526.441</v>
      </c>
      <c r="Z36" s="592">
        <v>548.272</v>
      </c>
      <c r="AA36" s="592">
        <v>556.821</v>
      </c>
      <c r="AB36" s="592">
        <v>565.182</v>
      </c>
      <c r="AC36" s="592">
        <v>581.205</v>
      </c>
      <c r="AD36" s="592">
        <v>596.214</v>
      </c>
      <c r="AE36" s="599">
        <f t="shared" si="2"/>
        <v>2.582393475623917</v>
      </c>
      <c r="AF36" s="10" t="s">
        <v>72</v>
      </c>
    </row>
    <row r="37" spans="1:32" ht="12.75" customHeight="1">
      <c r="A37" s="8"/>
      <c r="B37" s="186" t="s">
        <v>61</v>
      </c>
      <c r="C37" s="610">
        <v>1749</v>
      </c>
      <c r="D37" s="613">
        <v>1828</v>
      </c>
      <c r="E37" s="611">
        <v>2706</v>
      </c>
      <c r="F37" s="611">
        <v>2640</v>
      </c>
      <c r="G37" s="611">
        <v>2639</v>
      </c>
      <c r="H37" s="611">
        <v>2589</v>
      </c>
      <c r="I37" s="611">
        <v>2585</v>
      </c>
      <c r="J37" s="611">
        <v>2565</v>
      </c>
      <c r="K37" s="611">
        <v>2618</v>
      </c>
      <c r="L37" s="612">
        <v>2679</v>
      </c>
      <c r="M37" s="611">
        <v>2789</v>
      </c>
      <c r="N37" s="611">
        <v>2872.7</v>
      </c>
      <c r="O37" s="611">
        <v>2928.3</v>
      </c>
      <c r="P37" s="611">
        <v>3019.6</v>
      </c>
      <c r="Q37" s="611">
        <v>3111.9</v>
      </c>
      <c r="R37" s="611">
        <v>3236.6</v>
      </c>
      <c r="S37" s="611">
        <v>3425.2</v>
      </c>
      <c r="T37" s="611">
        <v>3552.4</v>
      </c>
      <c r="U37" s="611">
        <v>3641.1</v>
      </c>
      <c r="V37" s="611">
        <v>3778.7000000000003</v>
      </c>
      <c r="W37" s="611">
        <v>3805.8</v>
      </c>
      <c r="X37" s="611">
        <v>3782.07</v>
      </c>
      <c r="Y37" s="611">
        <v>3796.8630000000003</v>
      </c>
      <c r="Z37" s="611">
        <v>3833.235</v>
      </c>
      <c r="AA37" s="611">
        <f>3280.6+460.6+97.087+22.384</f>
        <v>3860.671</v>
      </c>
      <c r="AB37" s="611">
        <f>3353.9+468.9+117.498</f>
        <v>3940.2980000000002</v>
      </c>
      <c r="AC37" s="611">
        <f>3569.6+496.8</f>
        <v>4066.4</v>
      </c>
      <c r="AD37" s="611">
        <f>3736.036+506.211</f>
        <v>4242.247</v>
      </c>
      <c r="AE37" s="613">
        <f t="shared" si="2"/>
        <v>4.324390123942564</v>
      </c>
      <c r="AF37" s="186" t="s">
        <v>61</v>
      </c>
    </row>
    <row r="38" spans="1:32" ht="12.75" customHeight="1">
      <c r="A38" s="8"/>
      <c r="B38" s="496" t="s">
        <v>221</v>
      </c>
      <c r="C38" s="614"/>
      <c r="D38" s="585"/>
      <c r="E38" s="592"/>
      <c r="F38" s="592"/>
      <c r="G38" s="592"/>
      <c r="H38" s="592">
        <v>39.335</v>
      </c>
      <c r="I38" s="592">
        <v>51.113</v>
      </c>
      <c r="J38" s="592">
        <v>29.124</v>
      </c>
      <c r="K38" s="592">
        <v>30.612000000000002</v>
      </c>
      <c r="L38" s="592">
        <v>33.256</v>
      </c>
      <c r="M38" s="592">
        <v>37.109</v>
      </c>
      <c r="N38" s="592">
        <v>37.126</v>
      </c>
      <c r="O38" s="592">
        <v>45.575</v>
      </c>
      <c r="P38" s="592">
        <v>52.321</v>
      </c>
      <c r="Q38" s="592">
        <v>54.63</v>
      </c>
      <c r="R38" s="592">
        <v>56.857</v>
      </c>
      <c r="S38" s="592">
        <v>48.775</v>
      </c>
      <c r="T38" s="592">
        <v>47.333</v>
      </c>
      <c r="U38" s="592">
        <v>41.318000000000005</v>
      </c>
      <c r="V38" s="592">
        <v>61.621</v>
      </c>
      <c r="W38" s="592">
        <v>79.054</v>
      </c>
      <c r="X38" s="592">
        <v>79.307</v>
      </c>
      <c r="Y38" s="592">
        <v>83.719</v>
      </c>
      <c r="Z38" s="592">
        <v>71.209</v>
      </c>
      <c r="AA38" s="592">
        <v>60</v>
      </c>
      <c r="AB38" s="592">
        <v>65.26</v>
      </c>
      <c r="AC38" s="592">
        <v>68.676</v>
      </c>
      <c r="AD38" s="592">
        <v>71.011</v>
      </c>
      <c r="AE38" s="599">
        <f t="shared" si="2"/>
        <v>3.400023297804182</v>
      </c>
      <c r="AF38" s="497" t="s">
        <v>221</v>
      </c>
    </row>
    <row r="39" spans="1:32" ht="12.75" customHeight="1">
      <c r="A39" s="8"/>
      <c r="B39" s="184" t="s">
        <v>213</v>
      </c>
      <c r="C39" s="602"/>
      <c r="D39" s="601"/>
      <c r="E39" s="603"/>
      <c r="F39" s="603"/>
      <c r="G39" s="603"/>
      <c r="H39" s="603"/>
      <c r="I39" s="603"/>
      <c r="J39" s="603"/>
      <c r="K39" s="603"/>
      <c r="L39" s="603"/>
      <c r="M39" s="603"/>
      <c r="N39" s="603"/>
      <c r="O39" s="603"/>
      <c r="P39" s="603"/>
      <c r="Q39" s="603"/>
      <c r="R39" s="603"/>
      <c r="S39" s="603"/>
      <c r="T39" s="603"/>
      <c r="U39" s="603"/>
      <c r="V39" s="603"/>
      <c r="W39" s="603"/>
      <c r="X39" s="603"/>
      <c r="Y39" s="603"/>
      <c r="Z39" s="603">
        <f>12.394+1.095</f>
        <v>13.489</v>
      </c>
      <c r="AA39" s="603">
        <f>1.03+12.638</f>
        <v>13.668</v>
      </c>
      <c r="AB39" s="603">
        <f>12.848+0.959</f>
        <v>13.807</v>
      </c>
      <c r="AC39" s="603">
        <f>11.992+0.769+1.069</f>
        <v>13.830000000000002</v>
      </c>
      <c r="AD39" s="603">
        <f>12.517+0.661+1.163</f>
        <v>14.341</v>
      </c>
      <c r="AE39" s="601">
        <f t="shared" si="2"/>
        <v>3.694866232827181</v>
      </c>
      <c r="AF39" s="184" t="s">
        <v>213</v>
      </c>
    </row>
    <row r="40" spans="1:32" ht="12.75" customHeight="1">
      <c r="A40" s="8"/>
      <c r="B40" s="497" t="s">
        <v>1</v>
      </c>
      <c r="C40" s="595"/>
      <c r="D40" s="599"/>
      <c r="E40" s="592"/>
      <c r="F40" s="592"/>
      <c r="G40" s="592"/>
      <c r="H40" s="592">
        <v>20.104</v>
      </c>
      <c r="I40" s="592">
        <v>20.026</v>
      </c>
      <c r="J40" s="592">
        <v>22.558</v>
      </c>
      <c r="K40" s="592">
        <v>21.937</v>
      </c>
      <c r="L40" s="592">
        <v>23.286</v>
      </c>
      <c r="M40" s="592">
        <v>23.44</v>
      </c>
      <c r="N40" s="592">
        <v>23.47</v>
      </c>
      <c r="O40" s="592">
        <v>24.628</v>
      </c>
      <c r="P40" s="592">
        <v>25.896</v>
      </c>
      <c r="Q40" s="592">
        <v>24.318</v>
      </c>
      <c r="R40" s="592">
        <f>19.042+3.952</f>
        <v>22.994</v>
      </c>
      <c r="S40" s="592">
        <f>15.196+3.194</f>
        <v>18.39</v>
      </c>
      <c r="T40" s="592">
        <f>14.702+3.339</f>
        <v>18.041</v>
      </c>
      <c r="U40" s="592">
        <f>13.545+3.411</f>
        <v>16.956</v>
      </c>
      <c r="V40" s="592">
        <f>12.981+3.575</f>
        <v>16.556</v>
      </c>
      <c r="W40" s="592">
        <f>13.325+3.94</f>
        <v>17.265</v>
      </c>
      <c r="X40" s="597">
        <f>27.771+4.263</f>
        <v>32.034</v>
      </c>
      <c r="Y40" s="592">
        <f>28.795+4.505</f>
        <v>33.300000000000004</v>
      </c>
      <c r="Z40" s="592">
        <f>27.917+4.636</f>
        <v>32.553000000000004</v>
      </c>
      <c r="AA40" s="592">
        <f>26.542+4.219</f>
        <v>30.761000000000003</v>
      </c>
      <c r="AB40" s="592">
        <f>30.167+4.934</f>
        <v>35.101</v>
      </c>
      <c r="AC40" s="592">
        <f>32.123+5.248</f>
        <v>37.370999999999995</v>
      </c>
      <c r="AD40" s="592">
        <f>33.237+5.451</f>
        <v>38.688</v>
      </c>
      <c r="AE40" s="599">
        <f t="shared" si="2"/>
        <v>3.524122983061744</v>
      </c>
      <c r="AF40" s="497" t="s">
        <v>1</v>
      </c>
    </row>
    <row r="41" spans="1:32" ht="12.75" customHeight="1">
      <c r="A41" s="8"/>
      <c r="B41" s="184" t="s">
        <v>212</v>
      </c>
      <c r="C41" s="602"/>
      <c r="D41" s="601"/>
      <c r="E41" s="603"/>
      <c r="F41" s="603"/>
      <c r="G41" s="603"/>
      <c r="H41" s="603"/>
      <c r="I41" s="603"/>
      <c r="J41" s="603"/>
      <c r="K41" s="603"/>
      <c r="L41" s="603"/>
      <c r="M41" s="603"/>
      <c r="N41" s="603"/>
      <c r="O41" s="603"/>
      <c r="P41" s="603">
        <v>100.724</v>
      </c>
      <c r="Q41" s="603">
        <v>98.242</v>
      </c>
      <c r="R41" s="603">
        <v>102.916</v>
      </c>
      <c r="S41" s="603">
        <v>110.912</v>
      </c>
      <c r="T41" s="603">
        <v>118.259</v>
      </c>
      <c r="U41" s="603">
        <v>127.909</v>
      </c>
      <c r="V41" s="603">
        <v>131.459</v>
      </c>
      <c r="W41" s="603">
        <v>140.921</v>
      </c>
      <c r="X41" s="603">
        <v>149.689</v>
      </c>
      <c r="Y41" s="604">
        <v>151.687</v>
      </c>
      <c r="Z41" s="603">
        <v>159.455</v>
      </c>
      <c r="AA41" s="603">
        <v>144.075</v>
      </c>
      <c r="AB41" s="603">
        <v>140.854</v>
      </c>
      <c r="AC41" s="603">
        <v>139.22</v>
      </c>
      <c r="AD41" s="603">
        <v>139.886</v>
      </c>
      <c r="AE41" s="601">
        <f t="shared" si="2"/>
        <v>0.47837954316906917</v>
      </c>
      <c r="AF41" s="184" t="s">
        <v>212</v>
      </c>
    </row>
    <row r="42" spans="1:32" ht="12.75" customHeight="1">
      <c r="A42" s="8"/>
      <c r="B42" s="498" t="s">
        <v>57</v>
      </c>
      <c r="C42" s="615"/>
      <c r="D42" s="617" t="s">
        <v>82</v>
      </c>
      <c r="E42" s="616" t="s">
        <v>82</v>
      </c>
      <c r="F42" s="616"/>
      <c r="G42" s="616">
        <f>308.18+379.41</f>
        <v>687.59</v>
      </c>
      <c r="H42" s="616">
        <f>354.29+406.398</f>
        <v>760.6880000000001</v>
      </c>
      <c r="I42" s="616">
        <f>374.473+419.374</f>
        <v>793.847</v>
      </c>
      <c r="J42" s="616">
        <f>397.743+432.216</f>
        <v>829.9590000000001</v>
      </c>
      <c r="K42" s="616">
        <f>442.788+453.796</f>
        <v>896.5840000000001</v>
      </c>
      <c r="L42" s="616">
        <f>529.838+489.071</f>
        <v>1018.909</v>
      </c>
      <c r="M42" s="616">
        <f>626.004+519.749</f>
        <v>1145.7530000000002</v>
      </c>
      <c r="N42" s="616">
        <f>692.935+531.69</f>
        <v>1224.625</v>
      </c>
      <c r="O42" s="616">
        <f>794.459+557.295</f>
        <v>1351.754</v>
      </c>
      <c r="P42" s="616">
        <f>833.175+562.063</f>
        <v>1395.2379999999998</v>
      </c>
      <c r="Q42" s="616">
        <f>875.381+567.152</f>
        <v>1442.533</v>
      </c>
      <c r="R42" s="616">
        <f>973.457+579.01</f>
        <v>1552.467</v>
      </c>
      <c r="S42" s="616">
        <f>1259.867+647.42</f>
        <v>1907.2869999999998</v>
      </c>
      <c r="T42" s="616">
        <f>1475.057+676.929</f>
        <v>2151.986</v>
      </c>
      <c r="U42" s="616">
        <f>1695.624+709.535</f>
        <v>2405.159</v>
      </c>
      <c r="V42" s="616">
        <f>1890.459+729.202</f>
        <v>2619.661</v>
      </c>
      <c r="W42" s="616">
        <f>2066.007+744.217</f>
        <v>2810.224</v>
      </c>
      <c r="X42" s="616">
        <f>2204.951+727.302</f>
        <v>2932.253</v>
      </c>
      <c r="Y42" s="616">
        <f>2399.038+726.359</f>
        <v>3125.397</v>
      </c>
      <c r="Z42" s="616">
        <f>2611.104+728.458</f>
        <v>3339.562</v>
      </c>
      <c r="AA42" s="616">
        <f>2794.606+751.65</f>
        <v>3546.2560000000003</v>
      </c>
      <c r="AB42" s="616">
        <f>2933.05+755.95</f>
        <v>3689</v>
      </c>
      <c r="AC42" s="616">
        <f>3638.989+197.218</f>
        <v>3836.207</v>
      </c>
      <c r="AD42" s="616">
        <f>3844.725+214.893</f>
        <v>4059.618</v>
      </c>
      <c r="AE42" s="617">
        <f t="shared" si="2"/>
        <v>5.823747258685458</v>
      </c>
      <c r="AF42" s="498" t="s">
        <v>57</v>
      </c>
    </row>
    <row r="43" spans="1:32" ht="12.75" customHeight="1">
      <c r="A43" s="8"/>
      <c r="B43" s="182" t="s">
        <v>43</v>
      </c>
      <c r="C43" s="618"/>
      <c r="D43" s="620" t="s">
        <v>82</v>
      </c>
      <c r="E43" s="619">
        <f>7.707+5.415</f>
        <v>13.122</v>
      </c>
      <c r="F43" s="619">
        <f>7.615+7.008</f>
        <v>14.623000000000001</v>
      </c>
      <c r="G43" s="619">
        <f>6.777+8.068</f>
        <v>14.844999999999999</v>
      </c>
      <c r="H43" s="619">
        <f>6.506+7.945</f>
        <v>14.451</v>
      </c>
      <c r="I43" s="619">
        <f>6.392+7.956</f>
        <v>14.348</v>
      </c>
      <c r="J43" s="619">
        <f>6.445+8.312</f>
        <v>14.757</v>
      </c>
      <c r="K43" s="619">
        <f>6.594+8.666</f>
        <v>15.260000000000002</v>
      </c>
      <c r="L43" s="619">
        <f>6.812+9.216</f>
        <v>16.028</v>
      </c>
      <c r="M43" s="619">
        <f>6.76+9.79</f>
        <v>16.549999999999997</v>
      </c>
      <c r="N43" s="619">
        <f>7.028+10.779</f>
        <v>17.807</v>
      </c>
      <c r="O43" s="619">
        <f>7.466+11.966</f>
        <v>19.432</v>
      </c>
      <c r="P43" s="619">
        <f>7.618+12.372</f>
        <v>19.990000000000002</v>
      </c>
      <c r="Q43" s="619">
        <f>7.664+12.614</f>
        <v>20.278</v>
      </c>
      <c r="R43" s="619">
        <f>8.04+13.195</f>
        <v>21.235</v>
      </c>
      <c r="S43" s="619">
        <v>23.035</v>
      </c>
      <c r="T43" s="619">
        <f>9.508+16.036</f>
        <v>25.544</v>
      </c>
      <c r="U43" s="619">
        <v>28.087</v>
      </c>
      <c r="V43" s="619">
        <v>31.095</v>
      </c>
      <c r="W43" s="619">
        <v>31.819</v>
      </c>
      <c r="X43" s="619">
        <f>10.458+20.465</f>
        <v>30.923000000000002</v>
      </c>
      <c r="Y43" s="619">
        <v>30.437</v>
      </c>
      <c r="Z43" s="619">
        <v>30.209</v>
      </c>
      <c r="AA43" s="619">
        <v>30.338</v>
      </c>
      <c r="AB43" s="619">
        <v>30.657</v>
      </c>
      <c r="AC43" s="619">
        <v>31.364</v>
      </c>
      <c r="AD43" s="619">
        <v>33.023</v>
      </c>
      <c r="AE43" s="620">
        <f t="shared" si="2"/>
        <v>5.289503889809978</v>
      </c>
      <c r="AF43" s="182" t="s">
        <v>43</v>
      </c>
    </row>
    <row r="44" spans="1:32" ht="12.75" customHeight="1">
      <c r="A44" s="8"/>
      <c r="B44" s="497" t="s">
        <v>73</v>
      </c>
      <c r="C44" s="595"/>
      <c r="D44" s="599" t="s">
        <v>82</v>
      </c>
      <c r="E44" s="592">
        <v>308.299</v>
      </c>
      <c r="F44" s="592">
        <v>311.063</v>
      </c>
      <c r="G44" s="592">
        <v>314.882</v>
      </c>
      <c r="H44" s="592">
        <v>323.387</v>
      </c>
      <c r="I44" s="592">
        <v>335.779</v>
      </c>
      <c r="J44" s="592">
        <v>349.504</v>
      </c>
      <c r="K44" s="592">
        <v>358.128</v>
      </c>
      <c r="L44" s="592">
        <v>377.01200000000006</v>
      </c>
      <c r="M44" s="592">
        <v>390.829</v>
      </c>
      <c r="N44" s="592">
        <v>403.039</v>
      </c>
      <c r="O44" s="592">
        <v>414.34</v>
      </c>
      <c r="P44" s="592">
        <v>426.977</v>
      </c>
      <c r="Q44" s="592">
        <v>431.028</v>
      </c>
      <c r="R44" s="592">
        <v>438.28200000000004</v>
      </c>
      <c r="S44" s="592">
        <v>449.801</v>
      </c>
      <c r="T44" s="592">
        <f>302.956+82.778+79.705</f>
        <v>465.439</v>
      </c>
      <c r="U44" s="592">
        <f>331.052+73.904+83.609</f>
        <v>488.565</v>
      </c>
      <c r="V44" s="592">
        <f>361.911+84.742+67.02</f>
        <v>513.673</v>
      </c>
      <c r="W44" s="592">
        <f>379.343+84.35+59.657</f>
        <v>523.35</v>
      </c>
      <c r="X44" s="592">
        <f>387.546+53.911+82.694</f>
        <v>524.151</v>
      </c>
      <c r="Y44" s="592">
        <f>397.279+48.432+81.33</f>
        <v>527.041</v>
      </c>
      <c r="Z44" s="592">
        <f>410.73+43.371+80.16</f>
        <v>534.261</v>
      </c>
      <c r="AA44" s="592">
        <v>542.528</v>
      </c>
      <c r="AB44" s="592">
        <f>434.636+79.437+34.232</f>
        <v>548.305</v>
      </c>
      <c r="AC44" s="592">
        <f>441.967+78.668+30.247</f>
        <v>550.882</v>
      </c>
      <c r="AD44" s="592">
        <f>450.385+77.12+26.605</f>
        <v>554.11</v>
      </c>
      <c r="AE44" s="599">
        <f t="shared" si="2"/>
        <v>0.5859694090567586</v>
      </c>
      <c r="AF44" s="497" t="s">
        <v>73</v>
      </c>
    </row>
    <row r="45" spans="1:32" ht="12.75" customHeight="1">
      <c r="A45" s="8"/>
      <c r="B45" s="184" t="s">
        <v>44</v>
      </c>
      <c r="C45" s="602">
        <v>106.997</v>
      </c>
      <c r="D45" s="601">
        <v>169.402</v>
      </c>
      <c r="E45" s="603">
        <v>252.136</v>
      </c>
      <c r="F45" s="603">
        <v>257.646</v>
      </c>
      <c r="G45" s="603">
        <v>256.611</v>
      </c>
      <c r="H45" s="603">
        <v>253.461</v>
      </c>
      <c r="I45" s="603">
        <v>256.285</v>
      </c>
      <c r="J45" s="603">
        <v>262.352</v>
      </c>
      <c r="K45" s="603">
        <v>263.02</v>
      </c>
      <c r="L45" s="603">
        <v>264.2</v>
      </c>
      <c r="M45" s="603">
        <v>267.38</v>
      </c>
      <c r="N45" s="603">
        <v>273.954</v>
      </c>
      <c r="O45" s="603">
        <v>278.518</v>
      </c>
      <c r="P45" s="603">
        <v>285.246</v>
      </c>
      <c r="Q45" s="603">
        <v>290.142</v>
      </c>
      <c r="R45" s="603">
        <v>292.329</v>
      </c>
      <c r="S45" s="603">
        <v>298.193</v>
      </c>
      <c r="T45" s="603">
        <v>307.161</v>
      </c>
      <c r="U45" s="603">
        <v>314.04</v>
      </c>
      <c r="V45" s="603">
        <v>324.153</v>
      </c>
      <c r="W45" s="603">
        <v>326.232</v>
      </c>
      <c r="X45" s="603">
        <f>327.808</f>
        <v>327.808</v>
      </c>
      <c r="Y45" s="603">
        <v>335.2</v>
      </c>
      <c r="Z45" s="603">
        <v>348.553</v>
      </c>
      <c r="AA45" s="603">
        <v>361.926</v>
      </c>
      <c r="AB45" s="603">
        <v>371.361</v>
      </c>
      <c r="AC45" s="603">
        <v>382.281</v>
      </c>
      <c r="AD45" s="603">
        <v>393.598</v>
      </c>
      <c r="AE45" s="601">
        <f t="shared" si="2"/>
        <v>2.960387777577239</v>
      </c>
      <c r="AF45" s="184" t="s">
        <v>44</v>
      </c>
    </row>
    <row r="46" spans="1:32" ht="12.75" customHeight="1">
      <c r="A46" s="8"/>
      <c r="B46" s="498" t="s">
        <v>83</v>
      </c>
      <c r="C46" s="615"/>
      <c r="D46" s="617"/>
      <c r="E46" s="616"/>
      <c r="F46" s="616"/>
      <c r="G46" s="616"/>
      <c r="H46" s="616"/>
      <c r="I46" s="616"/>
      <c r="J46" s="616"/>
      <c r="K46" s="616"/>
      <c r="L46" s="616"/>
      <c r="M46" s="616"/>
      <c r="N46" s="616">
        <v>2.884</v>
      </c>
      <c r="O46" s="616">
        <v>2.46</v>
      </c>
      <c r="P46" s="616">
        <v>2.6</v>
      </c>
      <c r="Q46" s="616">
        <v>2.665</v>
      </c>
      <c r="R46" s="616">
        <v>2.56</v>
      </c>
      <c r="S46" s="616">
        <v>2.591</v>
      </c>
      <c r="T46" s="616">
        <v>2.579</v>
      </c>
      <c r="U46" s="616">
        <v>2.525</v>
      </c>
      <c r="V46" s="616">
        <v>2.566</v>
      </c>
      <c r="W46" s="616">
        <v>2.696</v>
      </c>
      <c r="X46" s="616">
        <f>2.712</f>
        <v>2.712</v>
      </c>
      <c r="Y46" s="616">
        <v>2.791</v>
      </c>
      <c r="Z46" s="616">
        <v>2.89</v>
      </c>
      <c r="AA46" s="616">
        <v>3.022</v>
      </c>
      <c r="AB46" s="616">
        <v>3.086</v>
      </c>
      <c r="AC46" s="993">
        <f>2.846+0.263</f>
        <v>3.109</v>
      </c>
      <c r="AD46" s="616">
        <v>3.183</v>
      </c>
      <c r="AE46" s="617">
        <f t="shared" si="2"/>
        <v>2.380186555162439</v>
      </c>
      <c r="AF46" s="498" t="s">
        <v>83</v>
      </c>
    </row>
    <row r="47" spans="2:32" ht="30" customHeight="1">
      <c r="B47" s="1037" t="s">
        <v>203</v>
      </c>
      <c r="C47" s="1037"/>
      <c r="D47" s="1037"/>
      <c r="E47" s="1037"/>
      <c r="F47" s="1037"/>
      <c r="G47" s="1037"/>
      <c r="H47" s="1037"/>
      <c r="I47" s="1037"/>
      <c r="J47" s="1037"/>
      <c r="K47" s="1037"/>
      <c r="L47" s="1037"/>
      <c r="M47" s="1037"/>
      <c r="N47" s="1037"/>
      <c r="O47" s="1037"/>
      <c r="P47" s="1037"/>
      <c r="Q47" s="1037"/>
      <c r="R47" s="1037"/>
      <c r="S47" s="1037"/>
      <c r="T47" s="1037"/>
      <c r="U47" s="1038"/>
      <c r="V47" s="1038"/>
      <c r="W47" s="1038"/>
      <c r="X47" s="1038"/>
      <c r="Y47" s="1038"/>
      <c r="Z47" s="1038"/>
      <c r="AA47" s="1038"/>
      <c r="AB47" s="1038"/>
      <c r="AC47" s="1038"/>
      <c r="AD47" s="1039"/>
      <c r="AE47" s="1038"/>
      <c r="AF47" s="1038"/>
    </row>
    <row r="48" spans="2:32" ht="12.75" customHeight="1">
      <c r="B48" s="1033" t="s">
        <v>179</v>
      </c>
      <c r="C48" s="1027"/>
      <c r="D48" s="1027"/>
      <c r="E48" s="1027"/>
      <c r="F48" s="1027"/>
      <c r="G48" s="1027"/>
      <c r="H48" s="1027"/>
      <c r="I48" s="1027"/>
      <c r="J48" s="1027"/>
      <c r="K48" s="1027"/>
      <c r="L48" s="1027"/>
      <c r="M48" s="1027"/>
      <c r="N48" s="1027"/>
      <c r="O48" s="1027"/>
      <c r="P48" s="1027"/>
      <c r="Q48" s="1027"/>
      <c r="R48" s="1027"/>
      <c r="S48" s="1027"/>
      <c r="T48" s="1027"/>
      <c r="U48" s="1027"/>
      <c r="V48" s="1027"/>
      <c r="W48" s="1027"/>
      <c r="X48" s="1027"/>
      <c r="Y48" s="1027"/>
      <c r="Z48" s="1027"/>
      <c r="AA48" s="1027"/>
      <c r="AB48" s="1027"/>
      <c r="AC48" s="1027"/>
      <c r="AD48" s="1027"/>
      <c r="AE48" s="1027"/>
      <c r="AF48" s="1027"/>
    </row>
    <row r="49" spans="2:32" ht="12.75" customHeight="1">
      <c r="B49" s="1036" t="s">
        <v>216</v>
      </c>
      <c r="C49" s="1036"/>
      <c r="D49" s="1036"/>
      <c r="E49" s="1036"/>
      <c r="F49" s="1036"/>
      <c r="G49" s="1036"/>
      <c r="H49" s="1036"/>
      <c r="I49" s="1036"/>
      <c r="J49" s="1036"/>
      <c r="K49" s="1036"/>
      <c r="L49" s="1036"/>
      <c r="M49" s="1036"/>
      <c r="N49" s="1036"/>
      <c r="O49" s="1036"/>
      <c r="P49" s="1036"/>
      <c r="Q49" s="1036"/>
      <c r="R49" s="1036"/>
      <c r="S49" s="1036"/>
      <c r="T49" s="1036"/>
      <c r="U49" s="1036"/>
      <c r="V49" s="1036"/>
      <c r="W49" s="1036"/>
      <c r="X49" s="1036"/>
      <c r="Y49" s="1036"/>
      <c r="Z49" s="1036"/>
      <c r="AA49" s="1036"/>
      <c r="AB49" s="1036"/>
      <c r="AC49" s="1036"/>
      <c r="AD49" s="1036"/>
      <c r="AE49" s="1036"/>
      <c r="AF49" s="1036"/>
    </row>
    <row r="50" spans="2:32" ht="12" customHeight="1">
      <c r="B50" s="1036" t="s">
        <v>180</v>
      </c>
      <c r="C50" s="1036"/>
      <c r="D50" s="1036"/>
      <c r="E50" s="1036"/>
      <c r="F50" s="1036"/>
      <c r="G50" s="1036"/>
      <c r="H50" s="1036"/>
      <c r="I50" s="1036"/>
      <c r="J50" s="1036"/>
      <c r="K50" s="1036"/>
      <c r="L50" s="1036"/>
      <c r="M50" s="1036"/>
      <c r="N50" s="1036"/>
      <c r="O50" s="1036"/>
      <c r="P50" s="1036"/>
      <c r="Q50" s="1036"/>
      <c r="R50" s="1036"/>
      <c r="S50" s="1036"/>
      <c r="T50" s="1036"/>
      <c r="U50" s="1036"/>
      <c r="V50" s="1036"/>
      <c r="W50" s="1036"/>
      <c r="X50" s="1036"/>
      <c r="Y50" s="1036"/>
      <c r="Z50" s="1036"/>
      <c r="AA50" s="1036"/>
      <c r="AB50" s="1036"/>
      <c r="AC50" s="1036"/>
      <c r="AD50" s="1036"/>
      <c r="AE50" s="1036"/>
      <c r="AF50" s="1036"/>
    </row>
    <row r="51" spans="2:30" ht="11.25">
      <c r="B51" s="3" t="s">
        <v>215</v>
      </c>
      <c r="U51" s="414"/>
      <c r="V51" s="414"/>
      <c r="W51" s="414"/>
      <c r="X51" s="414"/>
      <c r="Y51" s="414"/>
      <c r="Z51" s="414"/>
      <c r="AA51" s="414"/>
      <c r="AB51" s="414"/>
      <c r="AC51" s="413"/>
      <c r="AD51" s="414"/>
    </row>
    <row r="52" spans="2:30" ht="11.25">
      <c r="B52" s="3" t="s">
        <v>249</v>
      </c>
      <c r="J52" s="414"/>
      <c r="K52" s="414"/>
      <c r="L52" s="414"/>
      <c r="M52" s="414"/>
      <c r="N52" s="414"/>
      <c r="O52" s="414"/>
      <c r="P52" s="414"/>
      <c r="Q52" s="414"/>
      <c r="R52" s="414"/>
      <c r="S52" s="414"/>
      <c r="T52" s="414"/>
      <c r="U52" s="414"/>
      <c r="V52" s="414"/>
      <c r="W52" s="414"/>
      <c r="X52" s="414"/>
      <c r="Y52" s="414"/>
      <c r="Z52" s="414"/>
      <c r="AA52" s="414"/>
      <c r="AB52" s="414"/>
      <c r="AC52" s="996"/>
      <c r="AD52" s="414"/>
    </row>
    <row r="53" spans="5:29" ht="11.25">
      <c r="E53" s="448"/>
      <c r="X53" s="414"/>
      <c r="AC53" s="996"/>
    </row>
    <row r="54" spans="5:29" ht="14.25">
      <c r="E54" s="448"/>
      <c r="K54" s="447"/>
      <c r="L54" s="446"/>
      <c r="M54" s="446"/>
      <c r="N54" s="446"/>
      <c r="O54" s="446"/>
      <c r="P54" s="446"/>
      <c r="Q54" s="446"/>
      <c r="X54" s="414"/>
      <c r="AC54" s="996"/>
    </row>
  </sheetData>
  <sheetProtection/>
  <mergeCells count="7">
    <mergeCell ref="B48:AF48"/>
    <mergeCell ref="B49:AF49"/>
    <mergeCell ref="B50:AF50"/>
    <mergeCell ref="B1:C1"/>
    <mergeCell ref="B2:AF2"/>
    <mergeCell ref="B3:AF3"/>
    <mergeCell ref="B47:AF47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011">
    <pageSetUpPr fitToPage="1"/>
  </sheetPr>
  <dimension ref="A1:AT103"/>
  <sheetViews>
    <sheetView zoomScalePageLayoutView="0" workbookViewId="0" topLeftCell="I1">
      <selection activeCell="Z7" sqref="Z7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7.28125" style="1" customWidth="1"/>
    <col min="4" max="7" width="7.28125" style="1" hidden="1" customWidth="1"/>
    <col min="8" max="13" width="7.28125" style="0" customWidth="1"/>
    <col min="14" max="20" width="7.7109375" style="0" customWidth="1"/>
    <col min="21" max="21" width="7.7109375" style="493" customWidth="1"/>
    <col min="22" max="22" width="7.7109375" style="1" customWidth="1"/>
    <col min="23" max="23" width="7.7109375" style="493" customWidth="1"/>
    <col min="24" max="24" width="6.7109375" style="0" customWidth="1"/>
    <col min="25" max="25" width="7.57421875" style="0" customWidth="1"/>
    <col min="26" max="46" width="9.140625" style="493" customWidth="1"/>
  </cols>
  <sheetData>
    <row r="1" spans="2:25" ht="14.25" customHeight="1">
      <c r="B1" s="30"/>
      <c r="C1" s="89"/>
      <c r="D1" s="89"/>
      <c r="E1" s="89"/>
      <c r="F1" s="89"/>
      <c r="G1" s="89"/>
      <c r="H1" s="25"/>
      <c r="I1" s="25"/>
      <c r="Y1" s="17" t="s">
        <v>150</v>
      </c>
    </row>
    <row r="2" spans="2:46" s="44" customFormat="1" ht="30" customHeight="1">
      <c r="B2" s="1041" t="s">
        <v>15</v>
      </c>
      <c r="C2" s="1041"/>
      <c r="D2" s="1041"/>
      <c r="E2" s="1041"/>
      <c r="F2" s="1041"/>
      <c r="G2" s="1041"/>
      <c r="H2" s="1041"/>
      <c r="I2" s="1041"/>
      <c r="J2" s="1041"/>
      <c r="K2" s="1041"/>
      <c r="L2" s="1041"/>
      <c r="M2" s="1041"/>
      <c r="N2" s="1041"/>
      <c r="O2" s="1041"/>
      <c r="P2" s="1041"/>
      <c r="Q2" s="1041"/>
      <c r="R2" s="1041"/>
      <c r="S2" s="1041"/>
      <c r="T2" s="1041"/>
      <c r="U2" s="1041"/>
      <c r="V2" s="1041"/>
      <c r="W2" s="1041"/>
      <c r="X2" s="1041"/>
      <c r="Y2" s="1041"/>
      <c r="Z2" s="530"/>
      <c r="AA2" s="530"/>
      <c r="AB2" s="530"/>
      <c r="AC2" s="530"/>
      <c r="AD2" s="530"/>
      <c r="AE2" s="530"/>
      <c r="AF2" s="530"/>
      <c r="AG2" s="530"/>
      <c r="AH2" s="530"/>
      <c r="AI2" s="530"/>
      <c r="AJ2" s="530"/>
      <c r="AK2" s="530"/>
      <c r="AL2" s="530"/>
      <c r="AM2" s="530"/>
      <c r="AN2" s="530"/>
      <c r="AO2" s="530"/>
      <c r="AP2" s="530"/>
      <c r="AQ2" s="530"/>
      <c r="AR2" s="530"/>
      <c r="AS2" s="530"/>
      <c r="AT2" s="530"/>
    </row>
    <row r="3" spans="2:25" ht="15" customHeight="1">
      <c r="B3" s="1042" t="s">
        <v>112</v>
      </c>
      <c r="C3" s="1042"/>
      <c r="D3" s="1042"/>
      <c r="E3" s="1042"/>
      <c r="F3" s="1042"/>
      <c r="G3" s="1042"/>
      <c r="H3" s="1042"/>
      <c r="I3" s="1042"/>
      <c r="J3" s="1042"/>
      <c r="K3" s="1042"/>
      <c r="L3" s="1042"/>
      <c r="M3" s="1042"/>
      <c r="N3" s="1042"/>
      <c r="O3" s="1042"/>
      <c r="P3" s="1042"/>
      <c r="Q3" s="1042"/>
      <c r="R3" s="1042"/>
      <c r="S3" s="1042"/>
      <c r="T3" s="1042"/>
      <c r="U3" s="1042"/>
      <c r="V3" s="1042"/>
      <c r="W3" s="1042"/>
      <c r="X3" s="1042"/>
      <c r="Y3" s="1042"/>
    </row>
    <row r="4" spans="2:25" ht="12.75" customHeight="1">
      <c r="B4" s="4"/>
      <c r="C4" s="4"/>
      <c r="D4" s="4"/>
      <c r="E4" s="4"/>
      <c r="F4" s="4"/>
      <c r="G4" s="4"/>
      <c r="H4" s="23"/>
      <c r="P4" s="35"/>
      <c r="Q4" s="35" t="s">
        <v>3</v>
      </c>
      <c r="R4" s="62"/>
      <c r="S4" s="62"/>
      <c r="T4" s="62"/>
      <c r="U4" s="62"/>
      <c r="V4" s="62"/>
      <c r="W4" s="62"/>
      <c r="Y4" s="62"/>
    </row>
    <row r="5" spans="2:25" ht="19.5" customHeight="1">
      <c r="B5" s="4"/>
      <c r="C5" s="97">
        <v>1995</v>
      </c>
      <c r="D5" s="98">
        <v>1996</v>
      </c>
      <c r="E5" s="98">
        <v>1997</v>
      </c>
      <c r="F5" s="98">
        <v>1998</v>
      </c>
      <c r="G5" s="98">
        <v>1999</v>
      </c>
      <c r="H5" s="98">
        <v>2000</v>
      </c>
      <c r="I5" s="98">
        <v>2001</v>
      </c>
      <c r="J5" s="98">
        <v>2002</v>
      </c>
      <c r="K5" s="98">
        <v>2003</v>
      </c>
      <c r="L5" s="98">
        <v>2004</v>
      </c>
      <c r="M5" s="98">
        <v>2005</v>
      </c>
      <c r="N5" s="98">
        <v>2006</v>
      </c>
      <c r="O5" s="98">
        <v>2007</v>
      </c>
      <c r="P5" s="98">
        <v>2008</v>
      </c>
      <c r="Q5" s="98">
        <v>2009</v>
      </c>
      <c r="R5" s="98">
        <v>2010</v>
      </c>
      <c r="S5" s="98">
        <v>2011</v>
      </c>
      <c r="T5" s="98">
        <v>2012</v>
      </c>
      <c r="U5" s="98">
        <v>2013</v>
      </c>
      <c r="V5" s="98">
        <v>2014</v>
      </c>
      <c r="W5" s="98">
        <v>2015</v>
      </c>
      <c r="X5" s="112" t="s">
        <v>258</v>
      </c>
      <c r="Y5" s="6"/>
    </row>
    <row r="6" spans="2:25" ht="9.75" customHeight="1">
      <c r="B6" s="4"/>
      <c r="C6" s="45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211" t="s">
        <v>104</v>
      </c>
      <c r="Y6" s="6"/>
    </row>
    <row r="7" spans="2:25" ht="12.75" customHeight="1">
      <c r="B7" s="57" t="s">
        <v>222</v>
      </c>
      <c r="C7" s="621"/>
      <c r="D7" s="622"/>
      <c r="E7" s="622"/>
      <c r="F7" s="622"/>
      <c r="G7" s="622"/>
      <c r="H7" s="574">
        <f aca="true" t="shared" si="0" ref="H7:M7">SUM(H10:H37)</f>
        <v>23389.220999999994</v>
      </c>
      <c r="I7" s="574">
        <f t="shared" si="0"/>
        <v>26129.616000000005</v>
      </c>
      <c r="J7" s="574">
        <f t="shared" si="0"/>
        <v>27147.53900000001</v>
      </c>
      <c r="K7" s="574">
        <f t="shared" si="0"/>
        <v>28044.076999999994</v>
      </c>
      <c r="L7" s="574">
        <f t="shared" si="0"/>
        <v>28563.183000000005</v>
      </c>
      <c r="M7" s="574">
        <f t="shared" si="0"/>
        <v>29831.85</v>
      </c>
      <c r="N7" s="574">
        <f>SUM(N10:N37)</f>
        <v>30867.71899999999</v>
      </c>
      <c r="O7" s="574">
        <f>SUM(O10:O37)</f>
        <v>32959.48</v>
      </c>
      <c r="P7" s="574">
        <f>SUM(P10:P37)</f>
        <v>34177.416999999994</v>
      </c>
      <c r="Q7" s="574">
        <f>SUM(Q10:Q37)</f>
        <v>34228.703</v>
      </c>
      <c r="R7" s="574">
        <f>SUM(R10:R37)</f>
        <v>34401.26609999999</v>
      </c>
      <c r="S7" s="574">
        <f>SUM(S10:S37)</f>
        <v>34928.882000000005</v>
      </c>
      <c r="T7" s="574">
        <f>SUM(T10:T37)</f>
        <v>34500.324</v>
      </c>
      <c r="U7" s="574">
        <f>SUM(U10:U37)</f>
        <v>34697.132999999994</v>
      </c>
      <c r="V7" s="574">
        <f>SUM(V10:V37)</f>
        <v>35202.606999999996</v>
      </c>
      <c r="W7" s="574">
        <f>SUM(W10:W37)</f>
        <v>35509.138</v>
      </c>
      <c r="X7" s="212">
        <f>W7/V7*100-100</f>
        <v>0.8707622137190043</v>
      </c>
      <c r="Y7" s="57" t="s">
        <v>222</v>
      </c>
    </row>
    <row r="8" spans="1:25" ht="12.75" customHeight="1">
      <c r="A8" s="3"/>
      <c r="B8" s="55" t="s">
        <v>227</v>
      </c>
      <c r="C8" s="623"/>
      <c r="D8" s="624"/>
      <c r="E8" s="624"/>
      <c r="F8" s="624"/>
      <c r="G8" s="624"/>
      <c r="H8" s="624">
        <f aca="true" t="shared" si="1" ref="H8:M8">H10+H13+H14+H17+H18+H19+H16+H21+H25+H28+H29+H31+H35+H36+H37</f>
        <v>20805.457</v>
      </c>
      <c r="I8" s="624">
        <f t="shared" si="1"/>
        <v>23530.213</v>
      </c>
      <c r="J8" s="624">
        <f t="shared" si="1"/>
        <v>24366.145000000008</v>
      </c>
      <c r="K8" s="624">
        <f t="shared" si="1"/>
        <v>25275.67</v>
      </c>
      <c r="L8" s="624">
        <f t="shared" si="1"/>
        <v>26163.246000000003</v>
      </c>
      <c r="M8" s="624">
        <f t="shared" si="1"/>
        <v>27127.553999999996</v>
      </c>
      <c r="N8" s="624">
        <f>N10+N13+N14+N17+N18+N19+N16+N21+N25+N28+N29+N31+N35+N36+N37</f>
        <v>28072.128999999997</v>
      </c>
      <c r="O8" s="624">
        <f>O10+O13+O14+O17+O18+O19+O16+O21+O25+O28+O29+O31+O35+O36+O37</f>
        <v>30019.300000000003</v>
      </c>
      <c r="P8" s="624">
        <f>P10+P13+P14+P17+P18+P19+P16+P21+P25+P28+P29+P31+P35+P36+P37</f>
        <v>30848.744</v>
      </c>
      <c r="Q8" s="624">
        <f>Q10+Q13+Q14+Q17+Q18+Q19+Q16+Q21+Q25+Q28+Q29+Q31+Q35+Q36+Q37</f>
        <v>30669.734</v>
      </c>
      <c r="R8" s="624">
        <f>R10+R13+R14+R17+R18+R19+R16+R21+R25+R28+R29+R31+R35+R36+R37</f>
        <v>30693.581000000002</v>
      </c>
      <c r="S8" s="624">
        <f>S10+S13+S14+S17+S18+S19+S16+S21+S25+S28+S29+S31+S35+S36+S37</f>
        <v>31004.857999999997</v>
      </c>
      <c r="T8" s="624">
        <f>T10+T13+T14+T17+T18+T19+T16+T21+T25+T28+T29+T31+T35+T36+T37</f>
        <v>30413.528000000002</v>
      </c>
      <c r="U8" s="624">
        <f>U10+U13+U14+U17+U18+U19+U16+U21+U25+U28+U29+U31+U35+U36+U37</f>
        <v>30467.446999999996</v>
      </c>
      <c r="V8" s="624">
        <f>V10+V13+V14+V17+V18+V19+V16+V21+V25+V28+V29+V31+V35+V36+V37</f>
        <v>30863.113</v>
      </c>
      <c r="W8" s="624">
        <f>W10+W13+W14+W17+W18+W19+W16+W21+W25+W28+W29+W31+W35+W36+W37</f>
        <v>30959.996999999996</v>
      </c>
      <c r="X8" s="213">
        <f aca="true" t="shared" si="2" ref="X8:X46">W8/V8*100-100</f>
        <v>0.31391519060308326</v>
      </c>
      <c r="Y8" s="55" t="s">
        <v>227</v>
      </c>
    </row>
    <row r="9" spans="1:25" ht="12.75" customHeight="1">
      <c r="A9" s="3"/>
      <c r="B9" s="56" t="s">
        <v>231</v>
      </c>
      <c r="C9" s="626"/>
      <c r="D9" s="627"/>
      <c r="E9" s="627"/>
      <c r="F9" s="627"/>
      <c r="G9" s="627"/>
      <c r="H9" s="627">
        <f aca="true" t="shared" si="3" ref="H9:Q9">H7-H8</f>
        <v>2583.7639999999956</v>
      </c>
      <c r="I9" s="627">
        <f t="shared" si="3"/>
        <v>2599.4030000000057</v>
      </c>
      <c r="J9" s="627">
        <f t="shared" si="3"/>
        <v>2781.394000000004</v>
      </c>
      <c r="K9" s="627">
        <f t="shared" si="3"/>
        <v>2768.4069999999956</v>
      </c>
      <c r="L9" s="627">
        <f t="shared" si="3"/>
        <v>2399.9370000000017</v>
      </c>
      <c r="M9" s="627">
        <f t="shared" si="3"/>
        <v>2704.296000000002</v>
      </c>
      <c r="N9" s="627">
        <f>N7-N8</f>
        <v>2795.589999999993</v>
      </c>
      <c r="O9" s="627">
        <f>O7-O8</f>
        <v>2940.1800000000003</v>
      </c>
      <c r="P9" s="627">
        <f>P7-P8</f>
        <v>3328.672999999995</v>
      </c>
      <c r="Q9" s="627">
        <f t="shared" si="3"/>
        <v>3558.969000000001</v>
      </c>
      <c r="R9" s="627">
        <f>R7-R8</f>
        <v>3707.6850999999915</v>
      </c>
      <c r="S9" s="627">
        <f>S7-S8</f>
        <v>3924.0240000000085</v>
      </c>
      <c r="T9" s="627">
        <f>T7-T8</f>
        <v>4086.7959999999985</v>
      </c>
      <c r="U9" s="627">
        <f>U7-U8</f>
        <v>4229.685999999998</v>
      </c>
      <c r="V9" s="627">
        <f>V7-V8</f>
        <v>4339.493999999995</v>
      </c>
      <c r="W9" s="627">
        <f>W7-W8</f>
        <v>4549.141000000003</v>
      </c>
      <c r="X9" s="214">
        <f t="shared" si="2"/>
        <v>4.8311392987294965</v>
      </c>
      <c r="Y9" s="56" t="s">
        <v>231</v>
      </c>
    </row>
    <row r="10" spans="1:25" ht="12.75" customHeight="1">
      <c r="A10" s="8"/>
      <c r="B10" s="9" t="s">
        <v>62</v>
      </c>
      <c r="C10" s="614"/>
      <c r="D10" s="583">
        <v>212.432</v>
      </c>
      <c r="E10" s="583">
        <v>225.317</v>
      </c>
      <c r="F10" s="583">
        <v>241.11</v>
      </c>
      <c r="G10" s="583">
        <v>260.567</v>
      </c>
      <c r="H10" s="583">
        <v>277.838</v>
      </c>
      <c r="I10" s="583">
        <v>293.63</v>
      </c>
      <c r="J10" s="583">
        <v>305.51</v>
      </c>
      <c r="K10" s="583">
        <v>319.48</v>
      </c>
      <c r="L10" s="583">
        <v>322.762</v>
      </c>
      <c r="M10" s="583">
        <v>346.293</v>
      </c>
      <c r="N10" s="583">
        <v>359.764</v>
      </c>
      <c r="O10" s="584">
        <v>374</v>
      </c>
      <c r="P10" s="583">
        <v>388</v>
      </c>
      <c r="Q10" s="583">
        <v>404</v>
      </c>
      <c r="R10" s="583">
        <v>419</v>
      </c>
      <c r="S10" s="583">
        <v>434</v>
      </c>
      <c r="T10" s="583">
        <v>441</v>
      </c>
      <c r="U10" s="583">
        <v>450.793</v>
      </c>
      <c r="V10" s="583">
        <v>456.512</v>
      </c>
      <c r="W10" s="583">
        <v>465.786</v>
      </c>
      <c r="X10" s="154">
        <f t="shared" si="2"/>
        <v>2.0314909575213704</v>
      </c>
      <c r="Y10" s="72" t="s">
        <v>62</v>
      </c>
    </row>
    <row r="11" spans="1:25" ht="12.75" customHeight="1">
      <c r="A11" s="8"/>
      <c r="B11" s="55" t="s">
        <v>45</v>
      </c>
      <c r="C11" s="586">
        <v>519.3</v>
      </c>
      <c r="D11" s="587">
        <v>521.7</v>
      </c>
      <c r="E11" s="587">
        <v>525</v>
      </c>
      <c r="F11" s="587">
        <v>515.7</v>
      </c>
      <c r="G11" s="587">
        <v>519.2</v>
      </c>
      <c r="H11" s="587">
        <v>520.5</v>
      </c>
      <c r="I11" s="587">
        <v>524.1</v>
      </c>
      <c r="J11" s="587">
        <v>528.3</v>
      </c>
      <c r="K11" s="588">
        <v>533.7</v>
      </c>
      <c r="L11" s="587">
        <v>137.7</v>
      </c>
      <c r="M11" s="588">
        <v>146.5</v>
      </c>
      <c r="N11" s="587">
        <v>76.254</v>
      </c>
      <c r="O11" s="587">
        <v>90.318</v>
      </c>
      <c r="P11" s="587">
        <v>106.911</v>
      </c>
      <c r="Q11" s="587">
        <f>117.595</f>
        <v>117.595</v>
      </c>
      <c r="R11" s="587">
        <v>125.4</v>
      </c>
      <c r="S11" s="587">
        <v>131.8</v>
      </c>
      <c r="T11" s="587">
        <v>139.8</v>
      </c>
      <c r="U11" s="587">
        <v>147.9</v>
      </c>
      <c r="V11" s="587">
        <v>154.8</v>
      </c>
      <c r="W11" s="587">
        <v>163.3</v>
      </c>
      <c r="X11" s="155">
        <f t="shared" si="2"/>
        <v>5.490956072351423</v>
      </c>
      <c r="Y11" s="70" t="s">
        <v>45</v>
      </c>
    </row>
    <row r="12" spans="1:25" ht="12.75" customHeight="1">
      <c r="A12" s="8"/>
      <c r="B12" s="10" t="s">
        <v>47</v>
      </c>
      <c r="C12" s="595">
        <v>915.229</v>
      </c>
      <c r="D12" s="592">
        <v>918.159</v>
      </c>
      <c r="E12" s="592">
        <v>929.627</v>
      </c>
      <c r="F12" s="596">
        <v>927.08</v>
      </c>
      <c r="G12" s="592">
        <v>799.647</v>
      </c>
      <c r="H12" s="592">
        <v>748.14</v>
      </c>
      <c r="I12" s="592">
        <v>755.482</v>
      </c>
      <c r="J12" s="592">
        <v>760.219</v>
      </c>
      <c r="K12" s="592">
        <v>751.634</v>
      </c>
      <c r="L12" s="592">
        <v>756.559</v>
      </c>
      <c r="M12" s="592">
        <v>794</v>
      </c>
      <c r="N12" s="592">
        <v>822.703</v>
      </c>
      <c r="O12" s="592">
        <v>860.131</v>
      </c>
      <c r="P12" s="592">
        <v>892.796</v>
      </c>
      <c r="Q12" s="592">
        <v>903.346</v>
      </c>
      <c r="R12" s="592">
        <v>924.291</v>
      </c>
      <c r="S12" s="592">
        <v>944.171</v>
      </c>
      <c r="T12" s="592">
        <v>976.911</v>
      </c>
      <c r="U12" s="592">
        <v>977.197</v>
      </c>
      <c r="V12" s="592">
        <v>998.816</v>
      </c>
      <c r="W12" s="592">
        <v>1046.467</v>
      </c>
      <c r="X12" s="156">
        <f t="shared" si="2"/>
        <v>4.770748566302501</v>
      </c>
      <c r="Y12" s="73" t="s">
        <v>47</v>
      </c>
    </row>
    <row r="13" spans="1:25" ht="12.75" customHeight="1">
      <c r="A13" s="8"/>
      <c r="B13" s="55" t="s">
        <v>58</v>
      </c>
      <c r="C13" s="586">
        <v>58.014</v>
      </c>
      <c r="D13" s="587">
        <v>73.85</v>
      </c>
      <c r="E13" s="587">
        <v>93.875</v>
      </c>
      <c r="F13" s="587">
        <v>112.12</v>
      </c>
      <c r="G13" s="587">
        <v>126.938</v>
      </c>
      <c r="H13" s="587">
        <v>138.31</v>
      </c>
      <c r="I13" s="587">
        <v>146.365</v>
      </c>
      <c r="J13" s="587">
        <v>151.322</v>
      </c>
      <c r="K13" s="587">
        <v>155.74</v>
      </c>
      <c r="L13" s="587">
        <v>162.128</v>
      </c>
      <c r="M13" s="588">
        <f>105.264+66.653</f>
        <v>171.917</v>
      </c>
      <c r="N13" s="587">
        <f>118.752+65.284</f>
        <v>184.036</v>
      </c>
      <c r="O13" s="587">
        <f>133.914+63.263</f>
        <v>197.177</v>
      </c>
      <c r="P13" s="587">
        <v>204.76999999999998</v>
      </c>
      <c r="Q13" s="587">
        <f>147.373+57.866</f>
        <v>205.23899999999998</v>
      </c>
      <c r="R13" s="587">
        <f>148.766+54.842</f>
        <v>203.608</v>
      </c>
      <c r="S13" s="587">
        <v>200.597</v>
      </c>
      <c r="T13" s="587">
        <v>199.243</v>
      </c>
      <c r="U13" s="587">
        <v>198.076</v>
      </c>
      <c r="V13" s="587">
        <f>151.542+45.97</f>
        <v>197.512</v>
      </c>
      <c r="W13" s="587">
        <f>153.411+44.624</f>
        <v>198.035</v>
      </c>
      <c r="X13" s="155">
        <f t="shared" si="2"/>
        <v>0.26479403783061173</v>
      </c>
      <c r="Y13" s="70" t="s">
        <v>58</v>
      </c>
    </row>
    <row r="14" spans="1:25" ht="12.75" customHeight="1">
      <c r="A14" s="8"/>
      <c r="B14" s="10" t="s">
        <v>63</v>
      </c>
      <c r="C14" s="595">
        <f>1728.057+2267.428</f>
        <v>3995.4849999999997</v>
      </c>
      <c r="D14" s="596">
        <f>1666.995+2470.451</f>
        <v>4137.446</v>
      </c>
      <c r="E14" s="592">
        <f>1634.083+2096.673</f>
        <v>3730.756</v>
      </c>
      <c r="F14" s="592">
        <f>1747.139+2427.207</f>
        <v>4174.346</v>
      </c>
      <c r="G14" s="592">
        <f>1742.704+2646.497</f>
        <v>4389.201</v>
      </c>
      <c r="H14" s="592">
        <f>1594.749+2843.333</f>
        <v>4438.082</v>
      </c>
      <c r="I14" s="592">
        <f>1682.523+2984.626</f>
        <v>4667.149</v>
      </c>
      <c r="J14" s="592">
        <f>1583.917+3093.968</f>
        <v>4677.885</v>
      </c>
      <c r="K14" s="592">
        <f>1662.765+3201.042</f>
        <v>4863.807</v>
      </c>
      <c r="L14" s="592">
        <f>1785.62+3292.362</f>
        <v>5077.982</v>
      </c>
      <c r="M14" s="592">
        <f>1818.629+3384.272</f>
        <v>5202.901</v>
      </c>
      <c r="N14" s="592">
        <f>1930.185+3475.715</f>
        <v>5405.9</v>
      </c>
      <c r="O14" s="592">
        <f>1983.845+3566.122</f>
        <v>5549.967</v>
      </c>
      <c r="P14" s="592">
        <v>5852.283</v>
      </c>
      <c r="Q14" s="592">
        <f>3762.561+2104.204</f>
        <v>5866.765</v>
      </c>
      <c r="R14" s="592">
        <f>2042.996+3827.894</f>
        <v>5870.889999999999</v>
      </c>
      <c r="S14" s="592">
        <f>2096.161+3908.072</f>
        <v>6004.233</v>
      </c>
      <c r="T14" s="592">
        <f>2088.623+3982.978</f>
        <v>6071.601000000001</v>
      </c>
      <c r="U14" s="592">
        <f>4054.946+2044.104</f>
        <v>6099.05</v>
      </c>
      <c r="V14" s="592">
        <f>4145.392+2036.352</f>
        <v>6181.744</v>
      </c>
      <c r="W14" s="592">
        <f>4228.238+2020.36</f>
        <v>6248.598</v>
      </c>
      <c r="X14" s="156">
        <f t="shared" si="2"/>
        <v>1.08147474240279</v>
      </c>
      <c r="Y14" s="73" t="s">
        <v>63</v>
      </c>
    </row>
    <row r="15" spans="1:25" ht="12.75" customHeight="1">
      <c r="A15" s="8"/>
      <c r="B15" s="55" t="s">
        <v>48</v>
      </c>
      <c r="C15" s="586">
        <v>3.3</v>
      </c>
      <c r="D15" s="587">
        <v>4.7</v>
      </c>
      <c r="E15" s="587">
        <v>5.3</v>
      </c>
      <c r="F15" s="587">
        <v>6.1</v>
      </c>
      <c r="G15" s="587">
        <v>6.7</v>
      </c>
      <c r="H15" s="587">
        <v>6.7</v>
      </c>
      <c r="I15" s="587">
        <v>6.8</v>
      </c>
      <c r="J15" s="587">
        <v>7.3</v>
      </c>
      <c r="K15" s="587">
        <v>8.1</v>
      </c>
      <c r="L15" s="587">
        <v>9.1</v>
      </c>
      <c r="M15" s="587">
        <v>10.234</v>
      </c>
      <c r="N15" s="587">
        <v>12.594</v>
      </c>
      <c r="O15" s="587">
        <v>14.78</v>
      </c>
      <c r="P15" s="587">
        <v>17.622</v>
      </c>
      <c r="Q15" s="587">
        <f>18.6</f>
        <v>18.6</v>
      </c>
      <c r="R15" s="587">
        <v>19.7</v>
      </c>
      <c r="S15" s="600">
        <v>23.217</v>
      </c>
      <c r="T15" s="587">
        <v>35.273</v>
      </c>
      <c r="U15" s="587">
        <f>24.8+13.9</f>
        <v>38.7</v>
      </c>
      <c r="V15" s="587">
        <f>27+15.3</f>
        <v>42.3</v>
      </c>
      <c r="W15" s="628">
        <f>16.5+29</f>
        <v>45.5</v>
      </c>
      <c r="X15" s="155">
        <f t="shared" si="2"/>
        <v>7.56501182033098</v>
      </c>
      <c r="Y15" s="70" t="s">
        <v>48</v>
      </c>
    </row>
    <row r="16" spans="1:25" ht="12.75" customHeight="1">
      <c r="A16" s="8"/>
      <c r="B16" s="10" t="s">
        <v>66</v>
      </c>
      <c r="C16" s="595">
        <v>23.452</v>
      </c>
      <c r="D16" s="592">
        <v>23.847</v>
      </c>
      <c r="E16" s="592">
        <v>24.424</v>
      </c>
      <c r="F16" s="592">
        <v>24.398</v>
      </c>
      <c r="G16" s="592">
        <v>26.677</v>
      </c>
      <c r="H16" s="592">
        <v>30.638</v>
      </c>
      <c r="I16" s="592">
        <v>32.913</v>
      </c>
      <c r="J16" s="592">
        <v>33.147</v>
      </c>
      <c r="K16" s="592">
        <v>35.094</v>
      </c>
      <c r="L16" s="592">
        <v>34.854</v>
      </c>
      <c r="M16" s="592">
        <v>34.3</v>
      </c>
      <c r="N16" s="592">
        <v>34.927</v>
      </c>
      <c r="O16" s="592">
        <v>37.178</v>
      </c>
      <c r="P16" s="592">
        <v>39.409</v>
      </c>
      <c r="Q16" s="592">
        <v>39.552</v>
      </c>
      <c r="R16" s="592">
        <f>38.145</f>
        <v>38.145</v>
      </c>
      <c r="S16" s="592">
        <v>36.582</v>
      </c>
      <c r="T16" s="592">
        <v>35.106</v>
      </c>
      <c r="U16" s="592">
        <v>36.623</v>
      </c>
      <c r="V16" s="592">
        <v>36.573</v>
      </c>
      <c r="W16" s="592">
        <v>36.974</v>
      </c>
      <c r="X16" s="156">
        <f t="shared" si="2"/>
        <v>1.0964372624613645</v>
      </c>
      <c r="Y16" s="73" t="s">
        <v>66</v>
      </c>
    </row>
    <row r="17" spans="1:25" ht="12.75" customHeight="1">
      <c r="A17" s="8"/>
      <c r="B17" s="55" t="s">
        <v>59</v>
      </c>
      <c r="C17" s="586"/>
      <c r="D17" s="587"/>
      <c r="E17" s="587"/>
      <c r="F17" s="587"/>
      <c r="G17" s="587"/>
      <c r="H17" s="587">
        <v>781.361</v>
      </c>
      <c r="I17" s="587">
        <v>853.366</v>
      </c>
      <c r="J17" s="587">
        <v>910.555</v>
      </c>
      <c r="K17" s="587">
        <v>969.895</v>
      </c>
      <c r="L17" s="587">
        <v>1042.605</v>
      </c>
      <c r="M17" s="587">
        <v>1124.172</v>
      </c>
      <c r="N17" s="587">
        <v>1205.816</v>
      </c>
      <c r="O17" s="587">
        <v>1298.688</v>
      </c>
      <c r="P17" s="587">
        <v>1388.607</v>
      </c>
      <c r="Q17" s="587">
        <v>1448.851</v>
      </c>
      <c r="R17" s="587">
        <v>1499.133</v>
      </c>
      <c r="S17" s="587">
        <v>1534.902</v>
      </c>
      <c r="T17" s="587">
        <v>1556.435</v>
      </c>
      <c r="U17" s="587">
        <f>1568.596</f>
        <v>1568.596</v>
      </c>
      <c r="V17" s="587">
        <v>1619.621</v>
      </c>
      <c r="W17" s="587">
        <v>1653.528</v>
      </c>
      <c r="X17" s="155">
        <f t="shared" si="2"/>
        <v>2.0935144703606596</v>
      </c>
      <c r="Y17" s="70" t="s">
        <v>59</v>
      </c>
    </row>
    <row r="18" spans="1:25" ht="12.75" customHeight="1">
      <c r="A18" s="8"/>
      <c r="B18" s="10" t="s">
        <v>64</v>
      </c>
      <c r="C18" s="595">
        <v>1301.18</v>
      </c>
      <c r="D18" s="592">
        <v>1308.208</v>
      </c>
      <c r="E18" s="592">
        <v>1326.333</v>
      </c>
      <c r="F18" s="592">
        <v>1361.155</v>
      </c>
      <c r="G18" s="592">
        <v>1403.771</v>
      </c>
      <c r="H18" s="596">
        <v>1445.644</v>
      </c>
      <c r="I18" s="592">
        <f>1483.442+1806.758</f>
        <v>3290.2</v>
      </c>
      <c r="J18" s="592">
        <f>1517.208+2044.242</f>
        <v>3561.45</v>
      </c>
      <c r="K18" s="592">
        <f>1513.526+2143.593</f>
        <v>3657.1189999999997</v>
      </c>
      <c r="L18" s="592">
        <f>1612.082+2242.046</f>
        <v>3854.1279999999997</v>
      </c>
      <c r="M18" s="592">
        <f>1805.827+2311.773</f>
        <v>4117.6</v>
      </c>
      <c r="N18" s="592">
        <f>2058.022+2343.124</f>
        <v>4401.146</v>
      </c>
      <c r="O18" s="592">
        <f>2311.346+2430.414</f>
        <v>4741.76</v>
      </c>
      <c r="P18" s="592">
        <f>2500.819+2410.685</f>
        <v>4911.504</v>
      </c>
      <c r="Q18" s="592">
        <f>2352.205+2606.674</f>
        <v>4958.879</v>
      </c>
      <c r="R18" s="592">
        <f>2290.207+2707.482</f>
        <v>4997.689</v>
      </c>
      <c r="S18" s="592">
        <f>2229.418+2798.043</f>
        <v>5027.461</v>
      </c>
      <c r="T18" s="592">
        <f>2852.297+2169.668</f>
        <v>5021.965</v>
      </c>
      <c r="U18" s="592">
        <f>2107.116+2891.204</f>
        <v>4998.32</v>
      </c>
      <c r="V18" s="592">
        <f>2061.044+2972.165</f>
        <v>5033.209</v>
      </c>
      <c r="W18" s="592">
        <f>3079.463+2023.211</f>
        <v>5102.674</v>
      </c>
      <c r="X18" s="156">
        <f t="shared" si="2"/>
        <v>1.3801334297860421</v>
      </c>
      <c r="Y18" s="73" t="s">
        <v>64</v>
      </c>
    </row>
    <row r="19" spans="1:25" ht="12.75" customHeight="1">
      <c r="A19" s="8"/>
      <c r="B19" s="55" t="s">
        <v>65</v>
      </c>
      <c r="C19" s="586">
        <f>1562+727</f>
        <v>2289</v>
      </c>
      <c r="D19" s="587">
        <f>1540+738</f>
        <v>2278</v>
      </c>
      <c r="E19" s="587">
        <f>1518+780</f>
        <v>2298</v>
      </c>
      <c r="F19" s="587">
        <f>1482+839</f>
        <v>2321</v>
      </c>
      <c r="G19" s="587">
        <f>1461+912</f>
        <v>2373</v>
      </c>
      <c r="H19" s="587">
        <f>1442+968</f>
        <v>2410</v>
      </c>
      <c r="I19" s="587">
        <f>1421+1019</f>
        <v>2440</v>
      </c>
      <c r="J19" s="587">
        <f>1387+1054</f>
        <v>2441</v>
      </c>
      <c r="K19" s="587">
        <f>1357+1091</f>
        <v>2448</v>
      </c>
      <c r="L19" s="587">
        <f>1331+1131</f>
        <v>2462</v>
      </c>
      <c r="M19" s="587">
        <f>1297.698+1177.608</f>
        <v>2475.306</v>
      </c>
      <c r="N19" s="587">
        <f>1295.316+1248.245</f>
        <v>2543.5609999999997</v>
      </c>
      <c r="O19" s="600">
        <f>1939+1801</f>
        <v>3740</v>
      </c>
      <c r="P19" s="587">
        <v>3857</v>
      </c>
      <c r="Q19" s="587">
        <f>1748+1784</f>
        <v>3532</v>
      </c>
      <c r="R19" s="587">
        <f>1713+1847.951</f>
        <v>3560.951</v>
      </c>
      <c r="S19" s="587">
        <f>1591.636+1847.781</f>
        <v>3439.417</v>
      </c>
      <c r="T19" s="587">
        <v>3089.125</v>
      </c>
      <c r="U19" s="587">
        <f>1343.411+1592.882</f>
        <v>2936.293</v>
      </c>
      <c r="V19" s="587">
        <f>1272.214+1542.88</f>
        <v>2815.094</v>
      </c>
      <c r="W19" s="587">
        <f>1197.031+1497.135</f>
        <v>2694.166</v>
      </c>
      <c r="X19" s="155">
        <f t="shared" si="2"/>
        <v>-4.295700250151498</v>
      </c>
      <c r="Y19" s="70" t="s">
        <v>65</v>
      </c>
    </row>
    <row r="20" spans="1:25" ht="12.75" customHeight="1">
      <c r="A20" s="8"/>
      <c r="B20" s="10" t="s">
        <v>76</v>
      </c>
      <c r="C20" s="592">
        <v>9.933</v>
      </c>
      <c r="D20" s="592">
        <v>14.128</v>
      </c>
      <c r="E20" s="592">
        <v>17.401</v>
      </c>
      <c r="F20" s="592">
        <v>18.957</v>
      </c>
      <c r="G20" s="592">
        <v>20.499</v>
      </c>
      <c r="H20" s="592">
        <v>21.868</v>
      </c>
      <c r="I20" s="596">
        <v>24.305</v>
      </c>
      <c r="J20" s="592">
        <v>85.217</v>
      </c>
      <c r="K20" s="592">
        <v>99.137</v>
      </c>
      <c r="L20" s="592">
        <v>112.907</v>
      </c>
      <c r="M20" s="592">
        <v>128.382</v>
      </c>
      <c r="N20" s="592">
        <v>143.486</v>
      </c>
      <c r="O20" s="592">
        <f>56.401+106.343</f>
        <v>162.744</v>
      </c>
      <c r="P20" s="592">
        <v>183.814</v>
      </c>
      <c r="Q20" s="592">
        <f>63.691+120.792</f>
        <v>184.483</v>
      </c>
      <c r="R20" s="592">
        <f>62.21+114.563</f>
        <v>176.773</v>
      </c>
      <c r="S20" s="592">
        <f>112.166+62.876</f>
        <v>175.042</v>
      </c>
      <c r="T20" s="592">
        <v>156.981</v>
      </c>
      <c r="U20" s="592">
        <v>154.782</v>
      </c>
      <c r="V20" s="592">
        <v>153.053</v>
      </c>
      <c r="W20" s="592">
        <v>151.277</v>
      </c>
      <c r="X20" s="156">
        <f t="shared" si="2"/>
        <v>-1.1603823512116804</v>
      </c>
      <c r="Y20" s="73" t="s">
        <v>76</v>
      </c>
    </row>
    <row r="21" spans="1:25" ht="12.75" customHeight="1">
      <c r="A21" s="8"/>
      <c r="B21" s="184" t="s">
        <v>67</v>
      </c>
      <c r="C21" s="602">
        <f>2530.75+3697.545</f>
        <v>6228.295</v>
      </c>
      <c r="D21" s="603">
        <f>2572.926+3818.309</f>
        <v>6391.235000000001</v>
      </c>
      <c r="E21" s="603">
        <f>2597.857+3831.657</f>
        <v>6429.514</v>
      </c>
      <c r="F21" s="603">
        <f>2723.002+4100.321</f>
        <v>6823.323</v>
      </c>
      <c r="G21" s="603">
        <f>2975.651+4431.146</f>
        <v>7406.797</v>
      </c>
      <c r="H21" s="603">
        <f>3375.782+4451.124</f>
        <v>7826.906</v>
      </c>
      <c r="I21" s="603">
        <f>3732.306+4495.813</f>
        <v>8228.119</v>
      </c>
      <c r="J21" s="603">
        <f>4037.48+4540.906</f>
        <v>8578.386</v>
      </c>
      <c r="K21" s="603">
        <f>4375.947+4586.452</f>
        <v>8962.399000000001</v>
      </c>
      <c r="L21" s="603">
        <f>4632.399+4574.644</f>
        <v>9207.043000000001</v>
      </c>
      <c r="M21" s="603">
        <f>4360+4938.359</f>
        <v>9298.359</v>
      </c>
      <c r="N21" s="603">
        <f>4050+5288.818</f>
        <v>9338.818</v>
      </c>
      <c r="O21" s="603">
        <f>3690+5590.259</f>
        <v>9280.259</v>
      </c>
      <c r="P21" s="603">
        <v>9180.094000000001</v>
      </c>
      <c r="Q21" s="603">
        <f>6118.098+2900</f>
        <v>9018.098</v>
      </c>
      <c r="R21" s="603">
        <f>6305.032+2550</f>
        <v>8855.032</v>
      </c>
      <c r="S21" s="603">
        <f>6428.476+2550</f>
        <v>8978.475999999999</v>
      </c>
      <c r="T21" s="603">
        <f>6428.796+2153.454</f>
        <v>8582.25</v>
      </c>
      <c r="U21" s="603">
        <f>6481.77+2256.078</f>
        <v>8737.848</v>
      </c>
      <c r="V21" s="603">
        <f>6505.62+2516.612</f>
        <v>9022.232</v>
      </c>
      <c r="W21" s="603">
        <f>6543.612+2421.947</f>
        <v>8965.559000000001</v>
      </c>
      <c r="X21" s="209">
        <f t="shared" si="2"/>
        <v>-0.6281483340264202</v>
      </c>
      <c r="Y21" s="449" t="s">
        <v>67</v>
      </c>
    </row>
    <row r="22" spans="1:25" ht="12.75" customHeight="1">
      <c r="A22" s="8"/>
      <c r="B22" s="10" t="s">
        <v>46</v>
      </c>
      <c r="C22" s="595">
        <v>50.393</v>
      </c>
      <c r="D22" s="592"/>
      <c r="E22" s="592"/>
      <c r="F22" s="592">
        <v>44.337</v>
      </c>
      <c r="G22" s="592">
        <v>44.756</v>
      </c>
      <c r="H22" s="592">
        <v>43.315</v>
      </c>
      <c r="I22" s="592">
        <v>41.985</v>
      </c>
      <c r="J22" s="592">
        <v>40.276</v>
      </c>
      <c r="K22" s="592">
        <v>41.516</v>
      </c>
      <c r="L22" s="592">
        <v>41.396</v>
      </c>
      <c r="M22" s="592">
        <v>40.381</v>
      </c>
      <c r="N22" s="592">
        <v>40.359</v>
      </c>
      <c r="O22" s="592">
        <v>41.211</v>
      </c>
      <c r="P22" s="592">
        <v>43.219</v>
      </c>
      <c r="Q22" s="592">
        <f>23.473+19.217</f>
        <v>42.69</v>
      </c>
      <c r="R22" s="592">
        <f>23.677+17.05</f>
        <v>40.727000000000004</v>
      </c>
      <c r="S22" s="592">
        <f>23.864+15.939</f>
        <v>39.803</v>
      </c>
      <c r="T22" s="592">
        <f>25.293+15.812</f>
        <v>41.105</v>
      </c>
      <c r="U22" s="893">
        <f>14.745+25.224</f>
        <v>39.969</v>
      </c>
      <c r="V22" s="592">
        <f>14.392+26.578</f>
        <v>40.97</v>
      </c>
      <c r="W22" s="592">
        <f>13.48+25.802</f>
        <v>39.282</v>
      </c>
      <c r="X22" s="156">
        <f t="shared" si="2"/>
        <v>-4.120087869172579</v>
      </c>
      <c r="Y22" s="73" t="s">
        <v>46</v>
      </c>
    </row>
    <row r="23" spans="1:25" ht="12.75" customHeight="1">
      <c r="A23" s="8"/>
      <c r="B23" s="184" t="s">
        <v>50</v>
      </c>
      <c r="C23" s="602">
        <v>15.792</v>
      </c>
      <c r="D23" s="603">
        <v>18.444</v>
      </c>
      <c r="E23" s="603">
        <v>19.267</v>
      </c>
      <c r="F23" s="603">
        <v>19.409</v>
      </c>
      <c r="G23" s="603">
        <v>20.057</v>
      </c>
      <c r="H23" s="608">
        <v>20.732</v>
      </c>
      <c r="I23" s="603">
        <v>21.37</v>
      </c>
      <c r="J23" s="603">
        <v>22.16</v>
      </c>
      <c r="K23" s="608">
        <v>22.88</v>
      </c>
      <c r="L23" s="603">
        <f>23.982+5.943</f>
        <v>29.924999999999997</v>
      </c>
      <c r="M23" s="603">
        <f>25.193+7.284</f>
        <v>32.477000000000004</v>
      </c>
      <c r="N23" s="603">
        <f>27.21+9.664</f>
        <v>36.874</v>
      </c>
      <c r="O23" s="603">
        <f>30.87+13.542</f>
        <v>44.412</v>
      </c>
      <c r="P23" s="603">
        <v>51.284000000000006</v>
      </c>
      <c r="Q23" s="603">
        <f>18.373+33.59</f>
        <v>51.96300000000001</v>
      </c>
      <c r="R23" s="604">
        <f>19.486+17.188</f>
        <v>36.674</v>
      </c>
      <c r="S23" s="603">
        <f>21.238+17.385</f>
        <v>38.623000000000005</v>
      </c>
      <c r="T23" s="603">
        <v>41.088</v>
      </c>
      <c r="U23" s="603">
        <v>43.588</v>
      </c>
      <c r="V23" s="603">
        <v>46.422</v>
      </c>
      <c r="W23" s="603">
        <v>49.288</v>
      </c>
      <c r="X23" s="209">
        <f t="shared" si="2"/>
        <v>6.173796906639083</v>
      </c>
      <c r="Y23" s="449" t="s">
        <v>50</v>
      </c>
    </row>
    <row r="24" spans="1:25" ht="12.75" customHeight="1">
      <c r="A24" s="8"/>
      <c r="B24" s="10" t="s">
        <v>51</v>
      </c>
      <c r="C24" s="595">
        <v>20.033</v>
      </c>
      <c r="D24" s="592">
        <v>19.402</v>
      </c>
      <c r="E24" s="592">
        <v>19.128</v>
      </c>
      <c r="F24" s="592">
        <v>19.266</v>
      </c>
      <c r="G24" s="592">
        <v>19.515</v>
      </c>
      <c r="H24" s="592">
        <v>19.842</v>
      </c>
      <c r="I24" s="592">
        <v>20.244</v>
      </c>
      <c r="J24" s="592">
        <v>21.017</v>
      </c>
      <c r="K24" s="592">
        <v>21.873</v>
      </c>
      <c r="L24" s="592">
        <v>22.861</v>
      </c>
      <c r="M24" s="592">
        <v>24.027</v>
      </c>
      <c r="N24" s="596">
        <v>25.478</v>
      </c>
      <c r="O24" s="597">
        <f>28.826+6.444</f>
        <v>35.27</v>
      </c>
      <c r="P24" s="592">
        <v>45.617000000000004</v>
      </c>
      <c r="Q24" s="592">
        <f>14.81+36.562</f>
        <v>51.372</v>
      </c>
      <c r="R24" s="592">
        <f>38.995+17.276</f>
        <v>56.271</v>
      </c>
      <c r="S24" s="592">
        <f>41.349+18.775</f>
        <v>60.123999999999995</v>
      </c>
      <c r="T24" s="592">
        <v>64.249</v>
      </c>
      <c r="U24" s="592">
        <f>22.169+45.983</f>
        <v>68.152</v>
      </c>
      <c r="V24" s="597">
        <f>23.374+9.789</f>
        <v>33.163</v>
      </c>
      <c r="W24" s="598">
        <f>26.651+11.102</f>
        <v>37.753</v>
      </c>
      <c r="X24" s="156">
        <f t="shared" si="2"/>
        <v>13.840726110424285</v>
      </c>
      <c r="Y24" s="73" t="s">
        <v>51</v>
      </c>
    </row>
    <row r="25" spans="1:25" ht="12.75" customHeight="1">
      <c r="A25" s="8"/>
      <c r="B25" s="184" t="s">
        <v>68</v>
      </c>
      <c r="C25" s="630">
        <f>8.405+20</f>
        <v>28.405</v>
      </c>
      <c r="D25" s="603">
        <f>8.716+20.185</f>
        <v>28.900999999999996</v>
      </c>
      <c r="E25" s="603">
        <f>9.297+20.377</f>
        <v>29.674</v>
      </c>
      <c r="F25" s="603">
        <f>9.947+20.641</f>
        <v>30.587999999999997</v>
      </c>
      <c r="G25" s="603">
        <f>10.819+20.943</f>
        <v>31.762</v>
      </c>
      <c r="H25" s="603">
        <f>11.488+21.286</f>
        <v>32.774</v>
      </c>
      <c r="I25" s="603">
        <f>11.961+21.615</f>
        <v>33.576</v>
      </c>
      <c r="J25" s="603">
        <f>12.671+22.03</f>
        <v>34.701</v>
      </c>
      <c r="K25" s="603">
        <f>13.38+22.579</f>
        <v>35.959</v>
      </c>
      <c r="L25" s="603">
        <f>13.901+23.008</f>
        <v>36.909</v>
      </c>
      <c r="M25" s="603">
        <f>23.471+14.268</f>
        <v>37.739000000000004</v>
      </c>
      <c r="N25" s="603">
        <f>24.029+14.609</f>
        <v>38.638</v>
      </c>
      <c r="O25" s="603">
        <f>24.532+14.947</f>
        <v>39.479</v>
      </c>
      <c r="P25" s="603">
        <v>40.285</v>
      </c>
      <c r="Q25" s="603">
        <f>25.7+15.551</f>
        <v>41.251</v>
      </c>
      <c r="R25" s="603">
        <f>26.34+15.753</f>
        <v>42.093</v>
      </c>
      <c r="S25" s="603">
        <f>27.11+16.225</f>
        <v>43.335</v>
      </c>
      <c r="T25" s="603">
        <v>44.526</v>
      </c>
      <c r="U25" s="604">
        <f>8.527+17.226</f>
        <v>25.753</v>
      </c>
      <c r="V25" s="603">
        <f>9.385+17.89</f>
        <v>27.275</v>
      </c>
      <c r="W25" s="646">
        <f>18.569+9.69</f>
        <v>28.259</v>
      </c>
      <c r="X25" s="209">
        <f t="shared" si="2"/>
        <v>3.60769935838681</v>
      </c>
      <c r="Y25" s="449" t="s">
        <v>68</v>
      </c>
    </row>
    <row r="26" spans="1:25" ht="12.75" customHeight="1">
      <c r="A26" s="8"/>
      <c r="B26" s="10" t="s">
        <v>49</v>
      </c>
      <c r="C26" s="595"/>
      <c r="D26" s="592"/>
      <c r="E26" s="592"/>
      <c r="F26" s="592"/>
      <c r="G26" s="592">
        <v>87.573</v>
      </c>
      <c r="H26" s="592">
        <v>91.193</v>
      </c>
      <c r="I26" s="592">
        <v>93.088</v>
      </c>
      <c r="J26" s="592">
        <v>97.593</v>
      </c>
      <c r="K26" s="592">
        <v>103.493</v>
      </c>
      <c r="L26" s="592">
        <v>114.038</v>
      </c>
      <c r="M26" s="592">
        <v>122.705</v>
      </c>
      <c r="N26" s="592">
        <v>130.188</v>
      </c>
      <c r="O26" s="592">
        <v>135.865</v>
      </c>
      <c r="P26" s="592">
        <v>141.54</v>
      </c>
      <c r="Q26" s="592">
        <f>141.956</f>
        <v>141.956</v>
      </c>
      <c r="R26" s="592">
        <v>142.251</v>
      </c>
      <c r="S26" s="592">
        <f>147.382</f>
        <v>147.382</v>
      </c>
      <c r="T26" s="592">
        <f>151.405</f>
        <v>151.405</v>
      </c>
      <c r="U26" s="592">
        <f>157.178</f>
        <v>157.178</v>
      </c>
      <c r="V26" s="592">
        <v>161.54</v>
      </c>
      <c r="W26" s="592">
        <v>162.828</v>
      </c>
      <c r="X26" s="156">
        <f t="shared" si="2"/>
        <v>0.7973257397548679</v>
      </c>
      <c r="Y26" s="73" t="s">
        <v>49</v>
      </c>
    </row>
    <row r="27" spans="1:25" ht="12.75" customHeight="1">
      <c r="A27" s="8"/>
      <c r="B27" s="184" t="s">
        <v>52</v>
      </c>
      <c r="C27" s="602">
        <v>17.411</v>
      </c>
      <c r="D27" s="603">
        <v>11.663</v>
      </c>
      <c r="E27" s="603">
        <v>13.881</v>
      </c>
      <c r="F27" s="603">
        <v>14.847</v>
      </c>
      <c r="G27" s="603">
        <v>11.87</v>
      </c>
      <c r="H27" s="603">
        <v>12.402</v>
      </c>
      <c r="I27" s="603">
        <v>12.83</v>
      </c>
      <c r="J27" s="603">
        <v>13.324</v>
      </c>
      <c r="K27" s="603">
        <v>13.667</v>
      </c>
      <c r="L27" s="603">
        <f>12.639+0.143</f>
        <v>12.782</v>
      </c>
      <c r="M27" s="603">
        <f>11.905+0.088</f>
        <v>11.992999999999999</v>
      </c>
      <c r="N27" s="603">
        <f>12.192+0.094</f>
        <v>12.286</v>
      </c>
      <c r="O27" s="603">
        <v>12.791</v>
      </c>
      <c r="P27" s="603">
        <v>14.413000000000002</v>
      </c>
      <c r="Q27" s="603">
        <f>14.301+0.005+0.074</f>
        <v>14.38</v>
      </c>
      <c r="R27" s="604">
        <f>14.635+0.067+0.0141</f>
        <v>14.716099999999999</v>
      </c>
      <c r="S27" s="603">
        <f>15.314+0.068+0.181</f>
        <v>15.562999999999999</v>
      </c>
      <c r="T27" s="603">
        <f>15.568+0.062+0.185</f>
        <v>15.815</v>
      </c>
      <c r="U27" s="603">
        <f>16.62+0.231+0.05</f>
        <v>16.901000000000003</v>
      </c>
      <c r="V27" s="603">
        <f>0.036+0.276+18.088</f>
        <v>18.400000000000002</v>
      </c>
      <c r="W27" s="603">
        <v>20.088</v>
      </c>
      <c r="X27" s="209">
        <f>W27/V27*100-100</f>
        <v>9.173913043478251</v>
      </c>
      <c r="Y27" s="449" t="s">
        <v>52</v>
      </c>
    </row>
    <row r="28" spans="1:25" ht="12.75" customHeight="1">
      <c r="A28" s="8"/>
      <c r="B28" s="10" t="s">
        <v>60</v>
      </c>
      <c r="C28" s="595">
        <f>307.993+547</f>
        <v>854.9929999999999</v>
      </c>
      <c r="D28" s="592">
        <f>335+553</f>
        <v>888</v>
      </c>
      <c r="E28" s="592">
        <f>373+543</f>
        <v>916</v>
      </c>
      <c r="F28" s="592">
        <f>451.425+546</f>
        <v>997.425</v>
      </c>
      <c r="G28" s="592">
        <f>413.989+520</f>
        <v>933.989</v>
      </c>
      <c r="H28" s="592">
        <f>437.798+533</f>
        <v>970.798</v>
      </c>
      <c r="I28" s="592">
        <f>460.822+504</f>
        <v>964.822</v>
      </c>
      <c r="J28" s="592">
        <f>494.45+508</f>
        <v>1002.45</v>
      </c>
      <c r="K28" s="592">
        <f>516.567+499</f>
        <v>1015.567</v>
      </c>
      <c r="L28" s="592">
        <f>536.934+502</f>
        <v>1038.934</v>
      </c>
      <c r="M28" s="592">
        <f>552.949+560</f>
        <v>1112.949</v>
      </c>
      <c r="N28" s="592">
        <f>567.911+711.792</f>
        <v>1279.703</v>
      </c>
      <c r="O28" s="592">
        <f>585.204+786.409</f>
        <v>1371.6129999999998</v>
      </c>
      <c r="P28" s="592">
        <v>1479.476</v>
      </c>
      <c r="Q28" s="592">
        <f>623.442+951.452</f>
        <v>1574.894</v>
      </c>
      <c r="R28" s="592">
        <f>636.199+1023.582</f>
        <v>1659.781</v>
      </c>
      <c r="S28" s="592">
        <f>1057.1+646.995</f>
        <v>1704.0949999999998</v>
      </c>
      <c r="T28" s="592">
        <f>1080.514+653.245</f>
        <v>1733.759</v>
      </c>
      <c r="U28" s="592">
        <f>653.991+1097.18</f>
        <v>1751.171</v>
      </c>
      <c r="V28" s="592">
        <f>652.336+1119.877</f>
        <v>1772.213</v>
      </c>
      <c r="W28" s="592">
        <f>652.544+1145.603</f>
        <v>1798.147</v>
      </c>
      <c r="X28" s="156">
        <f t="shared" si="2"/>
        <v>1.4633681165864232</v>
      </c>
      <c r="Y28" s="73" t="s">
        <v>60</v>
      </c>
    </row>
    <row r="29" spans="1:25" ht="12.75" customHeight="1">
      <c r="A29" s="8"/>
      <c r="B29" s="184" t="s">
        <v>69</v>
      </c>
      <c r="C29" s="602">
        <f>371.505+174.907</f>
        <v>546.412</v>
      </c>
      <c r="D29" s="603">
        <f>366.506+193.685</f>
        <v>560.191</v>
      </c>
      <c r="E29" s="603">
        <f>362.953+212.767</f>
        <v>575.72</v>
      </c>
      <c r="F29" s="603">
        <f>362.964+237.767</f>
        <v>600.731</v>
      </c>
      <c r="G29" s="603">
        <f>359.63+263.297</f>
        <v>622.927</v>
      </c>
      <c r="H29" s="603">
        <f>352.984+279.728</f>
        <v>632.712</v>
      </c>
      <c r="I29" s="608">
        <f>346.591+294.843</f>
        <v>641.434</v>
      </c>
      <c r="J29" s="603">
        <f>304.255+292.569</f>
        <v>596.8240000000001</v>
      </c>
      <c r="K29" s="603">
        <f>301.387+305.481</f>
        <v>606.8679999999999</v>
      </c>
      <c r="L29" s="603">
        <f>296.522+315.638</f>
        <v>612.16</v>
      </c>
      <c r="M29" s="603">
        <f>301.425+326.286</f>
        <v>627.711</v>
      </c>
      <c r="N29" s="603">
        <f>306.592+338.721</f>
        <v>645.313</v>
      </c>
      <c r="O29" s="603">
        <f>312.658+354.919</f>
        <v>667.577</v>
      </c>
      <c r="P29" s="603">
        <v>691.2429999999999</v>
      </c>
      <c r="Q29" s="603">
        <f>218.135+158.745+305.042+1.234+12.694+16.242</f>
        <v>712.092</v>
      </c>
      <c r="R29" s="603">
        <f>224.717+168.089+303.908+1.247+14.016+15.875</f>
        <v>727.852</v>
      </c>
      <c r="S29" s="603">
        <f>301.65+1.31+179.279+230.396+14.106+1.298+0.578+14.812</f>
        <v>743.429</v>
      </c>
      <c r="T29" s="603">
        <f>299.586+1.458+192.577+236.807+15.522+1.441+0.623+14.378</f>
        <v>762.3920000000002</v>
      </c>
      <c r="U29" s="603">
        <f>743.648+16.572+1.582+0.674+13.861</f>
        <v>776.337</v>
      </c>
      <c r="V29" s="603">
        <f>754.739+17.566+1.809+0.708+13.362</f>
        <v>788.184</v>
      </c>
      <c r="W29" s="603">
        <f>765.576+18.67+1.985+0.744+12.931</f>
        <v>799.9060000000001</v>
      </c>
      <c r="X29" s="209">
        <f t="shared" si="2"/>
        <v>1.48721618302325</v>
      </c>
      <c r="Y29" s="449" t="s">
        <v>69</v>
      </c>
    </row>
    <row r="30" spans="1:25" ht="12.75" customHeight="1">
      <c r="A30" s="8"/>
      <c r="B30" s="10" t="s">
        <v>53</v>
      </c>
      <c r="C30" s="595">
        <v>929</v>
      </c>
      <c r="D30" s="592"/>
      <c r="E30" s="592"/>
      <c r="F30" s="592">
        <v>820</v>
      </c>
      <c r="G30" s="592">
        <v>804</v>
      </c>
      <c r="H30" s="596">
        <v>803</v>
      </c>
      <c r="I30" s="592">
        <v>803</v>
      </c>
      <c r="J30" s="592">
        <v>869</v>
      </c>
      <c r="K30" s="592">
        <v>845.456</v>
      </c>
      <c r="L30" s="596">
        <v>835.79</v>
      </c>
      <c r="M30" s="592">
        <f>753.648+337.511</f>
        <v>1091.159</v>
      </c>
      <c r="N30" s="592">
        <f>784.176+405.917</f>
        <v>1190.093</v>
      </c>
      <c r="O30" s="592">
        <f>825.305+525.484</f>
        <v>1350.789</v>
      </c>
      <c r="P30" s="592">
        <v>1607.316</v>
      </c>
      <c r="Q30" s="592">
        <f>974.906+833.817</f>
        <v>1808.723</v>
      </c>
      <c r="R30" s="592">
        <f>1013.014+922.126</f>
        <v>1935.1399999999999</v>
      </c>
      <c r="S30" s="592">
        <f>1069.195+1032.98</f>
        <v>2102.175</v>
      </c>
      <c r="T30" s="592">
        <v>2207.556</v>
      </c>
      <c r="U30" s="592">
        <f>1153.169+1163.441</f>
        <v>2316.61</v>
      </c>
      <c r="V30" s="592">
        <f>1189.527+1216.578</f>
        <v>2406.105</v>
      </c>
      <c r="W30" s="592">
        <f>1272.333+1259.187</f>
        <v>2531.52</v>
      </c>
      <c r="X30" s="156">
        <f t="shared" si="2"/>
        <v>5.212366043875889</v>
      </c>
      <c r="Y30" s="73" t="s">
        <v>53</v>
      </c>
    </row>
    <row r="31" spans="1:25" ht="12.75" customHeight="1">
      <c r="A31" s="8"/>
      <c r="B31" s="184" t="s">
        <v>70</v>
      </c>
      <c r="C31" s="602">
        <v>216.296</v>
      </c>
      <c r="D31" s="603">
        <v>240.946</v>
      </c>
      <c r="E31" s="603">
        <v>271.708</v>
      </c>
      <c r="F31" s="603">
        <v>301.045</v>
      </c>
      <c r="G31" s="603">
        <v>323.854</v>
      </c>
      <c r="H31" s="603">
        <v>345.903</v>
      </c>
      <c r="I31" s="603">
        <v>368.063</v>
      </c>
      <c r="J31" s="603">
        <v>386.969</v>
      </c>
      <c r="K31" s="603">
        <v>402.759</v>
      </c>
      <c r="L31" s="608">
        <v>418.704</v>
      </c>
      <c r="M31" s="603">
        <v>588.42</v>
      </c>
      <c r="N31" s="603">
        <f>401+157.72</f>
        <v>558.72</v>
      </c>
      <c r="O31" s="603">
        <f>377+159.645</f>
        <v>536.645</v>
      </c>
      <c r="P31" s="603">
        <v>535</v>
      </c>
      <c r="Q31" s="603">
        <f>199.27+334</f>
        <v>533.27</v>
      </c>
      <c r="R31" s="603">
        <f>292+206</f>
        <v>498</v>
      </c>
      <c r="S31" s="603">
        <f>287+210</f>
        <v>497</v>
      </c>
      <c r="T31" s="603">
        <f>280+212.5</f>
        <v>492.5</v>
      </c>
      <c r="U31" s="603">
        <f>272.5+212.5</f>
        <v>485</v>
      </c>
      <c r="V31" s="603">
        <f>272.5+213.5</f>
        <v>486</v>
      </c>
      <c r="W31" s="603">
        <f>271.5+230</f>
        <v>501.5</v>
      </c>
      <c r="X31" s="209">
        <f t="shared" si="2"/>
        <v>3.1893004115226375</v>
      </c>
      <c r="Y31" s="449" t="s">
        <v>70</v>
      </c>
    </row>
    <row r="32" spans="1:25" ht="12.75" customHeight="1">
      <c r="A32" s="8"/>
      <c r="B32" s="10" t="s">
        <v>54</v>
      </c>
      <c r="C32" s="595">
        <f>205.032+122.692</f>
        <v>327.724</v>
      </c>
      <c r="D32" s="592">
        <f>160.073+94.923</f>
        <v>254.996</v>
      </c>
      <c r="E32" s="592">
        <f>153.768+96.742</f>
        <v>250.51</v>
      </c>
      <c r="F32" s="592">
        <f>146.725+98.994</f>
        <v>245.719</v>
      </c>
      <c r="G32" s="592">
        <f>141.49+101.093</f>
        <v>242.58300000000003</v>
      </c>
      <c r="H32" s="592">
        <f>137.103+102.105</f>
        <v>239.20800000000003</v>
      </c>
      <c r="I32" s="592">
        <f>134.152+103.749</f>
        <v>237.90099999999998</v>
      </c>
      <c r="J32" s="592">
        <f>132.955+105.525</f>
        <v>238.48000000000002</v>
      </c>
      <c r="K32" s="592">
        <f>132.88+102.97</f>
        <v>235.85</v>
      </c>
      <c r="L32" s="592">
        <f>130.193+104.509</f>
        <v>234.702</v>
      </c>
      <c r="M32" s="592">
        <f>103.556+93.845</f>
        <v>197.401</v>
      </c>
      <c r="N32" s="596">
        <f>101.474+92.507</f>
        <v>193.981</v>
      </c>
      <c r="O32" s="597">
        <f>29.403+27.076</f>
        <v>56.479</v>
      </c>
      <c r="P32" s="592">
        <v>71.827</v>
      </c>
      <c r="Q32" s="592">
        <f>79.99</f>
        <v>79.99</v>
      </c>
      <c r="R32" s="592">
        <f>85.171</f>
        <v>85.171</v>
      </c>
      <c r="S32" s="592">
        <v>90.082</v>
      </c>
      <c r="T32" s="592">
        <v>95.45</v>
      </c>
      <c r="U32" s="592">
        <v>101.622</v>
      </c>
      <c r="V32" s="592">
        <v>107.338</v>
      </c>
      <c r="W32" s="592">
        <v>112.866</v>
      </c>
      <c r="X32" s="156">
        <f t="shared" si="2"/>
        <v>5.150086642195689</v>
      </c>
      <c r="Y32" s="73" t="s">
        <v>54</v>
      </c>
    </row>
    <row r="33" spans="1:25" ht="12.75" customHeight="1">
      <c r="A33" s="8"/>
      <c r="B33" s="184" t="s">
        <v>56</v>
      </c>
      <c r="C33" s="602">
        <v>8.546</v>
      </c>
      <c r="D33" s="603">
        <v>8.173</v>
      </c>
      <c r="E33" s="603">
        <v>8.283</v>
      </c>
      <c r="F33" s="603">
        <v>9.14</v>
      </c>
      <c r="G33" s="603">
        <v>9.906</v>
      </c>
      <c r="H33" s="608">
        <v>11.217</v>
      </c>
      <c r="I33" s="608">
        <v>11.622</v>
      </c>
      <c r="J33" s="603">
        <f>11.93+38.678</f>
        <v>50.608</v>
      </c>
      <c r="K33" s="603">
        <f>12.048+30.344</f>
        <v>42.392</v>
      </c>
      <c r="L33" s="603">
        <f>11.574+28.626</f>
        <v>40.2</v>
      </c>
      <c r="M33" s="603">
        <f>14.473+34.198</f>
        <v>48.671</v>
      </c>
      <c r="N33" s="603">
        <f>18.801+34.392</f>
        <v>53.193</v>
      </c>
      <c r="O33" s="603">
        <f>34.162+37.331</f>
        <v>71.493</v>
      </c>
      <c r="P33" s="603">
        <v>81.99600000000001</v>
      </c>
      <c r="Q33" s="603">
        <f>46.185+42.243</f>
        <v>88.428</v>
      </c>
      <c r="R33" s="603">
        <f>48.686+42.322</f>
        <v>91.00800000000001</v>
      </c>
      <c r="S33" s="603">
        <f>49.887+42.296</f>
        <v>92.18299999999999</v>
      </c>
      <c r="T33" s="603">
        <v>93.1</v>
      </c>
      <c r="U33" s="603">
        <f>41.05+51.936</f>
        <v>92.98599999999999</v>
      </c>
      <c r="V33" s="603">
        <f>41.165+54.631</f>
        <v>95.79599999999999</v>
      </c>
      <c r="W33" s="603">
        <v>100.32</v>
      </c>
      <c r="X33" s="209">
        <f t="shared" si="2"/>
        <v>4.722535387698869</v>
      </c>
      <c r="Y33" s="449" t="s">
        <v>56</v>
      </c>
    </row>
    <row r="34" spans="1:25" ht="12.75" customHeight="1">
      <c r="A34" s="8"/>
      <c r="B34" s="10" t="s">
        <v>55</v>
      </c>
      <c r="C34" s="595">
        <v>81.847</v>
      </c>
      <c r="D34" s="592">
        <v>79.479</v>
      </c>
      <c r="E34" s="592">
        <v>81.062</v>
      </c>
      <c r="F34" s="596">
        <v>100.891</v>
      </c>
      <c r="G34" s="592">
        <v>44.215</v>
      </c>
      <c r="H34" s="592">
        <v>45.647</v>
      </c>
      <c r="I34" s="592">
        <v>46.676</v>
      </c>
      <c r="J34" s="592">
        <v>47.9</v>
      </c>
      <c r="K34" s="592">
        <v>48.709</v>
      </c>
      <c r="L34" s="592">
        <v>51.977</v>
      </c>
      <c r="M34" s="592">
        <v>56.366</v>
      </c>
      <c r="N34" s="592">
        <v>58.101</v>
      </c>
      <c r="O34" s="592">
        <v>63.897</v>
      </c>
      <c r="P34" s="592">
        <v>70.318</v>
      </c>
      <c r="Q34" s="592">
        <v>55.443</v>
      </c>
      <c r="R34" s="592">
        <f>59.563</f>
        <v>59.563</v>
      </c>
      <c r="S34" s="592">
        <f>63.859</f>
        <v>63.859</v>
      </c>
      <c r="T34" s="592">
        <v>68.063</v>
      </c>
      <c r="U34" s="592">
        <f>74.101</f>
        <v>74.101</v>
      </c>
      <c r="V34" s="592">
        <v>80.791</v>
      </c>
      <c r="W34" s="592">
        <v>88.652</v>
      </c>
      <c r="X34" s="156">
        <f t="shared" si="2"/>
        <v>9.730044188090275</v>
      </c>
      <c r="Y34" s="73" t="s">
        <v>55</v>
      </c>
    </row>
    <row r="35" spans="1:25" ht="12.75" customHeight="1">
      <c r="A35" s="8"/>
      <c r="B35" s="184" t="s">
        <v>71</v>
      </c>
      <c r="C35" s="602">
        <f>65.095+94.43</f>
        <v>159.525</v>
      </c>
      <c r="D35" s="603">
        <f>66.468+96.32</f>
        <v>162.788</v>
      </c>
      <c r="E35" s="603">
        <f>68.552+98.062</f>
        <v>166.614</v>
      </c>
      <c r="F35" s="603">
        <f>72.704+100.621</f>
        <v>173.325</v>
      </c>
      <c r="G35" s="603">
        <f>80.178+103.01</f>
        <v>183.188</v>
      </c>
      <c r="H35" s="603">
        <f>90.877+102.545</f>
        <v>193.422</v>
      </c>
      <c r="I35" s="603">
        <f>102.811+103.424</f>
        <v>206.235</v>
      </c>
      <c r="J35" s="603">
        <f>116.021+107.556</f>
        <v>223.577</v>
      </c>
      <c r="K35" s="603">
        <f>129.67+115.712</f>
        <v>245.382</v>
      </c>
      <c r="L35" s="603">
        <f>142.703+129.017</f>
        <v>271.72</v>
      </c>
      <c r="M35" s="603">
        <f>156.487+145.318</f>
        <v>301.805</v>
      </c>
      <c r="N35" s="603">
        <f>172.283+166.16</f>
        <v>338.443</v>
      </c>
      <c r="O35" s="603">
        <f>188.144+188.388</f>
        <v>376.53200000000004</v>
      </c>
      <c r="P35" s="603">
        <v>421.544</v>
      </c>
      <c r="Q35" s="603">
        <f>216.443+239.754</f>
        <v>456.197</v>
      </c>
      <c r="R35" s="603">
        <f>226.877+259.889</f>
        <v>486.766</v>
      </c>
      <c r="S35" s="603">
        <f>279+237</f>
        <v>516</v>
      </c>
      <c r="T35" s="603">
        <f>244.968+293.051</f>
        <v>538.019</v>
      </c>
      <c r="U35" s="603">
        <f>302.727+251.525</f>
        <v>554.252</v>
      </c>
      <c r="V35" s="603">
        <f>257.094+311.097</f>
        <v>568.191</v>
      </c>
      <c r="W35" s="603">
        <f>261.826+319.321</f>
        <v>581.147</v>
      </c>
      <c r="X35" s="209">
        <f t="shared" si="2"/>
        <v>2.2802191516584998</v>
      </c>
      <c r="Y35" s="449" t="s">
        <v>71</v>
      </c>
    </row>
    <row r="36" spans="1:25" ht="12.75" customHeight="1">
      <c r="A36" s="8"/>
      <c r="B36" s="10" t="s">
        <v>72</v>
      </c>
      <c r="C36" s="595">
        <f>117.387+146.793</f>
        <v>264.18</v>
      </c>
      <c r="D36" s="592">
        <f>121.95+150.765</f>
        <v>272.715</v>
      </c>
      <c r="E36" s="592">
        <f>130.041+149.38</f>
        <v>279.421</v>
      </c>
      <c r="F36" s="592">
        <f>137.466+148.454</f>
        <v>285.92</v>
      </c>
      <c r="G36" s="592">
        <f>149.97+150.49</f>
        <v>300.46000000000004</v>
      </c>
      <c r="H36" s="592">
        <f>167.346+142.723</f>
        <v>310.069</v>
      </c>
      <c r="I36" s="592">
        <f>190.607+145.734</f>
        <v>336.341</v>
      </c>
      <c r="J36" s="592">
        <f>220.75+151.619</f>
        <v>372.369</v>
      </c>
      <c r="K36" s="592">
        <f>247.129+148.472</f>
        <v>395.601</v>
      </c>
      <c r="L36" s="592">
        <f>205.567+155.754+41.996</f>
        <v>403.317</v>
      </c>
      <c r="M36" s="592">
        <f>225.038+169.574+58.47</f>
        <v>453.082</v>
      </c>
      <c r="N36" s="592">
        <f>245.039+177.306+75.399</f>
        <v>497.744</v>
      </c>
      <c r="O36" s="592">
        <f>259.017+184.231+84.877</f>
        <v>528.125</v>
      </c>
      <c r="P36" s="592">
        <v>553.929</v>
      </c>
      <c r="Q36" s="592">
        <f>277.626+91.677+202.587</f>
        <v>571.89</v>
      </c>
      <c r="R36" s="592">
        <f>277.745+78.348+214.147</f>
        <v>570.24</v>
      </c>
      <c r="S36" s="592">
        <f>280.562+222.764+75.169</f>
        <v>578.495</v>
      </c>
      <c r="T36" s="592">
        <f>236.704+73.163+283.942</f>
        <v>593.809</v>
      </c>
      <c r="U36" s="592">
        <f>284.969+73.176+247.445</f>
        <v>605.5899999999999</v>
      </c>
      <c r="V36" s="592">
        <f>288.629+75.211+254.713</f>
        <v>618.553</v>
      </c>
      <c r="W36" s="592">
        <f>292.368+75.678+264.572</f>
        <v>632.6179999999999</v>
      </c>
      <c r="X36" s="156">
        <f t="shared" si="2"/>
        <v>2.273855271900686</v>
      </c>
      <c r="Y36" s="73" t="s">
        <v>72</v>
      </c>
    </row>
    <row r="37" spans="1:25" ht="12.75" customHeight="1">
      <c r="A37" s="8"/>
      <c r="B37" s="186" t="s">
        <v>61</v>
      </c>
      <c r="C37" s="610">
        <v>714</v>
      </c>
      <c r="D37" s="611">
        <v>752</v>
      </c>
      <c r="E37" s="611">
        <v>766</v>
      </c>
      <c r="F37" s="611">
        <v>828</v>
      </c>
      <c r="G37" s="611">
        <v>905</v>
      </c>
      <c r="H37" s="611">
        <v>971</v>
      </c>
      <c r="I37" s="611">
        <v>1028</v>
      </c>
      <c r="J37" s="611">
        <v>1090</v>
      </c>
      <c r="K37" s="611">
        <v>1162</v>
      </c>
      <c r="L37" s="611">
        <v>1218</v>
      </c>
      <c r="M37" s="611">
        <v>1235</v>
      </c>
      <c r="N37" s="611">
        <f>1209.6+30</f>
        <v>1239.6</v>
      </c>
      <c r="O37" s="611">
        <f>1248.3+32</f>
        <v>1280.3</v>
      </c>
      <c r="P37" s="611">
        <v>1305.6</v>
      </c>
      <c r="Q37" s="611">
        <f>1275.6+31.156</f>
        <v>1306.7559999999999</v>
      </c>
      <c r="R37" s="611">
        <f>30.001+1234.4</f>
        <v>1264.401</v>
      </c>
      <c r="S37" s="611">
        <f>1238.3+28.536</f>
        <v>1266.836</v>
      </c>
      <c r="T37" s="611">
        <f>1224.8+26.998</f>
        <v>1251.798</v>
      </c>
      <c r="U37" s="611">
        <f>1219.4+24.345</f>
        <v>1243.7450000000001</v>
      </c>
      <c r="V37" s="611">
        <v>1240.2</v>
      </c>
      <c r="W37" s="611">
        <v>1253.1</v>
      </c>
      <c r="X37" s="210">
        <f t="shared" si="2"/>
        <v>1.0401548137397185</v>
      </c>
      <c r="Y37" s="450" t="s">
        <v>61</v>
      </c>
    </row>
    <row r="38" spans="1:25" s="493" customFormat="1" ht="12.75" customHeight="1">
      <c r="A38" s="8"/>
      <c r="B38" s="497" t="s">
        <v>221</v>
      </c>
      <c r="C38" s="592">
        <v>6.946</v>
      </c>
      <c r="D38" s="592">
        <v>5.541</v>
      </c>
      <c r="E38" s="592">
        <v>3.645</v>
      </c>
      <c r="F38" s="592">
        <v>4.109</v>
      </c>
      <c r="G38" s="592">
        <v>3.214</v>
      </c>
      <c r="H38" s="592">
        <v>3.808</v>
      </c>
      <c r="I38" s="592">
        <v>3.447</v>
      </c>
      <c r="J38" s="592">
        <v>3.4</v>
      </c>
      <c r="K38" s="592">
        <v>3.896</v>
      </c>
      <c r="L38" s="592">
        <v>4.877</v>
      </c>
      <c r="M38" s="592">
        <v>7.17</v>
      </c>
      <c r="N38" s="592">
        <v>11.639</v>
      </c>
      <c r="O38" s="592">
        <v>13.859</v>
      </c>
      <c r="P38" s="592">
        <v>18.329</v>
      </c>
      <c r="Q38" s="592">
        <v>20.874</v>
      </c>
      <c r="R38" s="592">
        <v>24.022</v>
      </c>
      <c r="S38" s="592">
        <v>24.009</v>
      </c>
      <c r="T38" s="592">
        <v>25.492</v>
      </c>
      <c r="U38" s="592">
        <v>26.664</v>
      </c>
      <c r="V38" s="592">
        <v>30.975</v>
      </c>
      <c r="W38" s="592">
        <v>33.07</v>
      </c>
      <c r="X38" s="156">
        <f t="shared" si="2"/>
        <v>6.763518966908791</v>
      </c>
      <c r="Y38" s="73" t="s">
        <v>221</v>
      </c>
    </row>
    <row r="39" spans="1:25" ht="12.75" customHeight="1">
      <c r="A39" s="8"/>
      <c r="B39" s="184" t="s">
        <v>213</v>
      </c>
      <c r="C39" s="603"/>
      <c r="D39" s="603"/>
      <c r="E39" s="603"/>
      <c r="F39" s="603"/>
      <c r="G39" s="603"/>
      <c r="H39" s="603"/>
      <c r="I39" s="603"/>
      <c r="J39" s="603"/>
      <c r="K39" s="603"/>
      <c r="L39" s="603"/>
      <c r="M39" s="603"/>
      <c r="N39" s="603"/>
      <c r="O39" s="603"/>
      <c r="P39" s="603"/>
      <c r="Q39" s="603"/>
      <c r="R39" s="603"/>
      <c r="S39" s="603">
        <v>4.661</v>
      </c>
      <c r="T39" s="603">
        <v>4.576</v>
      </c>
      <c r="U39" s="603">
        <v>5.046</v>
      </c>
      <c r="V39" s="603">
        <v>3.703</v>
      </c>
      <c r="W39" s="603">
        <v>4.201</v>
      </c>
      <c r="X39" s="209">
        <f t="shared" si="2"/>
        <v>13.44855522549284</v>
      </c>
      <c r="Y39" s="449" t="s">
        <v>213</v>
      </c>
    </row>
    <row r="40" spans="1:25" ht="12.75" customHeight="1">
      <c r="A40" s="8"/>
      <c r="B40" s="497" t="s">
        <v>1</v>
      </c>
      <c r="C40" s="592"/>
      <c r="D40" s="592"/>
      <c r="E40" s="592"/>
      <c r="F40" s="592"/>
      <c r="G40" s="592"/>
      <c r="H40" s="592"/>
      <c r="I40" s="592"/>
      <c r="J40" s="592"/>
      <c r="K40" s="592">
        <v>2.142</v>
      </c>
      <c r="L40" s="592">
        <v>1.382</v>
      </c>
      <c r="M40" s="592">
        <v>1.724</v>
      </c>
      <c r="N40" s="592">
        <v>3.442</v>
      </c>
      <c r="O40" s="592">
        <v>4.437</v>
      </c>
      <c r="P40" s="592">
        <v>8.626</v>
      </c>
      <c r="Q40" s="592">
        <f>9.097</f>
        <v>9.097</v>
      </c>
      <c r="R40" s="592">
        <f>7.761</f>
        <v>7.761</v>
      </c>
      <c r="S40" s="592">
        <f>8.373</f>
        <v>8.373</v>
      </c>
      <c r="T40" s="592">
        <v>8.473</v>
      </c>
      <c r="U40" s="592">
        <v>8.093</v>
      </c>
      <c r="V40" s="592">
        <v>8.634</v>
      </c>
      <c r="W40" s="592">
        <v>10.05</v>
      </c>
      <c r="X40" s="156">
        <f t="shared" si="2"/>
        <v>16.400277970813065</v>
      </c>
      <c r="Y40" s="73" t="s">
        <v>1</v>
      </c>
    </row>
    <row r="41" spans="1:25" ht="12.75" customHeight="1">
      <c r="A41" s="8"/>
      <c r="B41" s="184" t="s">
        <v>212</v>
      </c>
      <c r="C41" s="603"/>
      <c r="D41" s="603"/>
      <c r="E41" s="603"/>
      <c r="F41" s="603"/>
      <c r="G41" s="603"/>
      <c r="H41" s="603"/>
      <c r="I41" s="603">
        <v>13.097</v>
      </c>
      <c r="J41" s="603">
        <v>12.339</v>
      </c>
      <c r="K41" s="603">
        <v>13.287</v>
      </c>
      <c r="L41" s="603">
        <v>14.771</v>
      </c>
      <c r="M41" s="603">
        <v>16.042</v>
      </c>
      <c r="N41" s="603">
        <v>20.38</v>
      </c>
      <c r="O41" s="603">
        <v>24.897</v>
      </c>
      <c r="P41" s="603">
        <v>31.803</v>
      </c>
      <c r="Q41" s="603">
        <v>34.5</v>
      </c>
      <c r="R41" s="604">
        <v>37.946</v>
      </c>
      <c r="S41" s="603">
        <v>39.135</v>
      </c>
      <c r="T41" s="603">
        <v>47.237</v>
      </c>
      <c r="U41" s="603">
        <f>22.294+36.403</f>
        <v>58.697</v>
      </c>
      <c r="V41" s="603">
        <f>25.065+38.102</f>
        <v>63.167</v>
      </c>
      <c r="W41" s="603">
        <f>24.845+39.396</f>
        <v>64.241</v>
      </c>
      <c r="X41" s="209">
        <f t="shared" si="2"/>
        <v>1.7002548799214736</v>
      </c>
      <c r="Y41" s="449" t="s">
        <v>212</v>
      </c>
    </row>
    <row r="42" spans="1:25" ht="12.75" customHeight="1">
      <c r="A42" s="8"/>
      <c r="B42" s="498" t="s">
        <v>57</v>
      </c>
      <c r="C42" s="592">
        <v>819.922</v>
      </c>
      <c r="D42" s="592">
        <v>854.15</v>
      </c>
      <c r="E42" s="592">
        <v>905.121</v>
      </c>
      <c r="F42" s="592">
        <v>940.935</v>
      </c>
      <c r="G42" s="592">
        <v>975.746</v>
      </c>
      <c r="H42" s="592">
        <v>1011.284</v>
      </c>
      <c r="I42" s="592">
        <v>1031.221</v>
      </c>
      <c r="J42" s="592">
        <v>1046.907</v>
      </c>
      <c r="K42" s="592">
        <v>1073.415</v>
      </c>
      <c r="L42" s="592">
        <v>1218.677</v>
      </c>
      <c r="M42" s="592">
        <v>1441.066</v>
      </c>
      <c r="N42" s="592">
        <v>1822.831</v>
      </c>
      <c r="O42" s="592">
        <v>2003.492</v>
      </c>
      <c r="P42" s="592">
        <v>2181.383</v>
      </c>
      <c r="Q42" s="592">
        <v>2303.261</v>
      </c>
      <c r="R42" s="592">
        <f>2389.488</f>
        <v>2389.488</v>
      </c>
      <c r="S42" s="592">
        <f>2527.19</f>
        <v>2527.19</v>
      </c>
      <c r="T42" s="592">
        <v>2657.722</v>
      </c>
      <c r="U42" s="592">
        <f>2722.826</f>
        <v>2722.826</v>
      </c>
      <c r="V42" s="592">
        <v>2828.466</v>
      </c>
      <c r="W42" s="592">
        <v>2938.364</v>
      </c>
      <c r="X42" s="156">
        <f t="shared" si="2"/>
        <v>3.885427648767916</v>
      </c>
      <c r="Y42" s="74" t="s">
        <v>57</v>
      </c>
    </row>
    <row r="43" spans="1:25" ht="12.75" customHeight="1">
      <c r="A43" s="8"/>
      <c r="B43" s="182" t="s">
        <v>43</v>
      </c>
      <c r="C43" s="619">
        <v>1.881</v>
      </c>
      <c r="D43" s="619">
        <v>1.95</v>
      </c>
      <c r="E43" s="619">
        <v>2.047</v>
      </c>
      <c r="F43" s="619">
        <v>1.906</v>
      </c>
      <c r="G43" s="619">
        <v>2.084</v>
      </c>
      <c r="H43" s="619">
        <v>2.278</v>
      </c>
      <c r="I43" s="619">
        <v>2.444</v>
      </c>
      <c r="J43" s="619">
        <v>2.557</v>
      </c>
      <c r="K43" s="619">
        <v>2.747</v>
      </c>
      <c r="L43" s="619">
        <v>3.105</v>
      </c>
      <c r="M43" s="619">
        <v>4.183</v>
      </c>
      <c r="N43" s="619">
        <v>5.699</v>
      </c>
      <c r="O43" s="619">
        <v>8.074</v>
      </c>
      <c r="P43" s="619">
        <v>9.009</v>
      </c>
      <c r="Q43" s="619">
        <v>9.42</v>
      </c>
      <c r="R43" s="619">
        <v>9.651</v>
      </c>
      <c r="S43" s="619">
        <f>9.922</f>
        <v>9.922</v>
      </c>
      <c r="T43" s="619">
        <v>10.135</v>
      </c>
      <c r="U43" s="619">
        <v>10.213</v>
      </c>
      <c r="V43" s="619">
        <v>10.306</v>
      </c>
      <c r="W43" s="619">
        <v>10.399</v>
      </c>
      <c r="X43" s="539">
        <f t="shared" si="2"/>
        <v>0.9023869590529756</v>
      </c>
      <c r="Y43" s="542" t="s">
        <v>43</v>
      </c>
    </row>
    <row r="44" spans="1:25" ht="12.75" customHeight="1">
      <c r="A44" s="8"/>
      <c r="B44" s="497" t="s">
        <v>73</v>
      </c>
      <c r="C44" s="592">
        <v>158.624</v>
      </c>
      <c r="D44" s="592">
        <v>164.775</v>
      </c>
      <c r="E44" s="592">
        <v>174.603</v>
      </c>
      <c r="F44" s="592">
        <v>184.34699999999998</v>
      </c>
      <c r="G44" s="592">
        <v>193.00099999999998</v>
      </c>
      <c r="H44" s="592">
        <v>201.564</v>
      </c>
      <c r="I44" s="592">
        <v>211.42700000000002</v>
      </c>
      <c r="J44" s="592">
        <v>225.173</v>
      </c>
      <c r="K44" s="592">
        <v>239.596</v>
      </c>
      <c r="L44" s="592">
        <v>248.57099999999997</v>
      </c>
      <c r="M44" s="592">
        <f>148.161+13.63+95.708</f>
        <v>257.499</v>
      </c>
      <c r="N44" s="592">
        <f>116.875+151.67</f>
        <v>268.54499999999996</v>
      </c>
      <c r="O44" s="592">
        <f>156.287+16.589+109.618</f>
        <v>282.494</v>
      </c>
      <c r="P44" s="592">
        <f>161.662+17.677+117.044</f>
        <v>296.383</v>
      </c>
      <c r="Q44" s="592">
        <f>141.235+165.557</f>
        <v>306.79200000000003</v>
      </c>
      <c r="R44" s="592">
        <f>146.592+168.904</f>
        <v>315.496</v>
      </c>
      <c r="S44" s="592">
        <f>151.65+171.846</f>
        <v>323.496</v>
      </c>
      <c r="T44" s="592">
        <v>331.699</v>
      </c>
      <c r="U44" s="592">
        <f>176.087+21.349+140.474</f>
        <v>337.90999999999997</v>
      </c>
      <c r="V44" s="592">
        <f>177.502+22.115+145.534</f>
        <v>345.151</v>
      </c>
      <c r="W44" s="592">
        <f>178.235+23.509+152.531</f>
        <v>354.27500000000003</v>
      </c>
      <c r="X44" s="156">
        <f t="shared" si="2"/>
        <v>2.643480679470727</v>
      </c>
      <c r="Y44" s="73" t="s">
        <v>73</v>
      </c>
    </row>
    <row r="45" spans="1:25" ht="12.75" customHeight="1">
      <c r="A45" s="8"/>
      <c r="B45" s="184" t="s">
        <v>44</v>
      </c>
      <c r="C45" s="603">
        <v>688.4833449318011</v>
      </c>
      <c r="D45" s="603">
        <v>682.9949516840975</v>
      </c>
      <c r="E45" s="603">
        <v>691.217</v>
      </c>
      <c r="F45" s="603">
        <v>700.464</v>
      </c>
      <c r="G45" s="603">
        <v>710.375</v>
      </c>
      <c r="H45" s="603">
        <v>712.713</v>
      </c>
      <c r="I45" s="603">
        <v>720.423</v>
      </c>
      <c r="J45" s="603">
        <v>731.943</v>
      </c>
      <c r="K45" s="603">
        <v>740.844</v>
      </c>
      <c r="L45" s="603">
        <v>748.01</v>
      </c>
      <c r="M45" s="603">
        <v>747.96</v>
      </c>
      <c r="N45" s="603">
        <v>759.223</v>
      </c>
      <c r="O45" s="603">
        <v>763.87</v>
      </c>
      <c r="P45" s="603">
        <v>778.089</v>
      </c>
      <c r="Q45" s="603">
        <v>781.997</v>
      </c>
      <c r="R45" s="603">
        <v>790.75</v>
      </c>
      <c r="S45" s="603">
        <v>808.704</v>
      </c>
      <c r="T45" s="603">
        <v>825.806</v>
      </c>
      <c r="U45" s="603">
        <v>835.237</v>
      </c>
      <c r="V45" s="603">
        <v>852.567</v>
      </c>
      <c r="W45" s="603">
        <f>710.022+159.915</f>
        <v>869.937</v>
      </c>
      <c r="X45" s="209">
        <f t="shared" si="2"/>
        <v>2.0373765346301127</v>
      </c>
      <c r="Y45" s="449" t="s">
        <v>44</v>
      </c>
    </row>
    <row r="46" spans="1:25" ht="12.75" customHeight="1">
      <c r="A46" s="8"/>
      <c r="B46" s="498" t="s">
        <v>83</v>
      </c>
      <c r="C46" s="616"/>
      <c r="D46" s="616"/>
      <c r="E46" s="616"/>
      <c r="F46" s="616"/>
      <c r="G46" s="616">
        <v>2.443</v>
      </c>
      <c r="H46" s="616">
        <v>2.594</v>
      </c>
      <c r="I46" s="616">
        <v>2.754</v>
      </c>
      <c r="J46" s="616">
        <v>2.878</v>
      </c>
      <c r="K46" s="616">
        <v>2.98</v>
      </c>
      <c r="L46" s="616">
        <v>3.003</v>
      </c>
      <c r="M46" s="616">
        <v>3.11</v>
      </c>
      <c r="N46" s="616">
        <v>3.17</v>
      </c>
      <c r="O46" s="616">
        <v>3.256</v>
      </c>
      <c r="P46" s="616">
        <v>3.438</v>
      </c>
      <c r="Q46" s="616">
        <f>3.577</f>
        <v>3.577</v>
      </c>
      <c r="R46" s="616">
        <v>3.734</v>
      </c>
      <c r="S46" s="616">
        <f>3.753</f>
        <v>3.753</v>
      </c>
      <c r="T46" s="616">
        <v>3.931</v>
      </c>
      <c r="U46" s="616">
        <f>3.999</f>
        <v>3.999</v>
      </c>
      <c r="V46" s="616">
        <v>4.154</v>
      </c>
      <c r="W46" s="616">
        <v>4.262</v>
      </c>
      <c r="X46" s="157">
        <f t="shared" si="2"/>
        <v>2.5999037072701014</v>
      </c>
      <c r="Y46" s="74" t="s">
        <v>83</v>
      </c>
    </row>
    <row r="47" spans="2:25" ht="24" customHeight="1">
      <c r="B47" s="1043" t="s">
        <v>248</v>
      </c>
      <c r="C47" s="1044"/>
      <c r="D47" s="1044"/>
      <c r="E47" s="1044"/>
      <c r="F47" s="1044"/>
      <c r="G47" s="1044"/>
      <c r="H47" s="1044"/>
      <c r="I47" s="1044"/>
      <c r="J47" s="1044"/>
      <c r="K47" s="1044"/>
      <c r="L47" s="1044"/>
      <c r="M47" s="1044"/>
      <c r="N47" s="1044"/>
      <c r="O47" s="1044"/>
      <c r="P47" s="1044"/>
      <c r="Q47" s="1044"/>
      <c r="R47" s="1044"/>
      <c r="S47" s="1044"/>
      <c r="T47" s="1044"/>
      <c r="U47" s="1044"/>
      <c r="V47" s="1044"/>
      <c r="W47" s="1045"/>
      <c r="X47" s="1044"/>
      <c r="Y47" s="1044"/>
    </row>
    <row r="48" spans="2:25" ht="12.75" customHeight="1">
      <c r="B48" s="1046" t="s">
        <v>176</v>
      </c>
      <c r="C48" s="1047"/>
      <c r="D48" s="1047"/>
      <c r="E48" s="1047"/>
      <c r="F48" s="1047"/>
      <c r="G48" s="1047"/>
      <c r="H48" s="1047"/>
      <c r="I48" s="1047"/>
      <c r="J48" s="1047"/>
      <c r="K48" s="1047"/>
      <c r="L48" s="1047"/>
      <c r="M48" s="1047"/>
      <c r="N48" s="1047"/>
      <c r="O48" s="1047"/>
      <c r="P48" s="1047"/>
      <c r="Q48" s="1047"/>
      <c r="R48" s="1047"/>
      <c r="S48" s="1047"/>
      <c r="T48" s="1047"/>
      <c r="U48" s="1047"/>
      <c r="V48" s="1047"/>
      <c r="W48" s="1047"/>
      <c r="X48" s="1047"/>
      <c r="Y48" s="1047"/>
    </row>
    <row r="49" spans="2:25" ht="12.75" customHeight="1">
      <c r="B49" s="1040" t="s">
        <v>177</v>
      </c>
      <c r="C49" s="1040"/>
      <c r="D49" s="1040"/>
      <c r="E49" s="1040"/>
      <c r="F49" s="1040"/>
      <c r="G49" s="1040"/>
      <c r="H49" s="1040"/>
      <c r="I49" s="1040"/>
      <c r="J49" s="1040"/>
      <c r="K49" s="1040"/>
      <c r="L49" s="1040"/>
      <c r="M49" s="1040"/>
      <c r="N49" s="1040"/>
      <c r="O49" s="1040"/>
      <c r="P49" s="1040"/>
      <c r="Q49" s="1040"/>
      <c r="R49" s="1040"/>
      <c r="S49" s="1040"/>
      <c r="T49" s="1040"/>
      <c r="U49" s="1040"/>
      <c r="V49" s="1040"/>
      <c r="W49" s="1040"/>
      <c r="X49" s="1040"/>
      <c r="Y49" s="1040"/>
    </row>
    <row r="50" spans="2:25" ht="12.75" customHeight="1">
      <c r="B50" s="1040" t="s">
        <v>181</v>
      </c>
      <c r="C50" s="1040"/>
      <c r="D50" s="1040"/>
      <c r="E50" s="1040"/>
      <c r="F50" s="1040"/>
      <c r="G50" s="1040"/>
      <c r="H50" s="1040"/>
      <c r="I50" s="1040"/>
      <c r="J50" s="1040"/>
      <c r="K50" s="1040"/>
      <c r="L50" s="1040"/>
      <c r="M50" s="1040"/>
      <c r="N50" s="1040"/>
      <c r="O50" s="1040"/>
      <c r="P50" s="1040"/>
      <c r="Q50" s="1040"/>
      <c r="R50" s="1040"/>
      <c r="S50" s="1040"/>
      <c r="T50" s="1040"/>
      <c r="U50" s="1040"/>
      <c r="V50" s="1040"/>
      <c r="W50" s="1040"/>
      <c r="X50" s="1040"/>
      <c r="Y50" s="1040"/>
    </row>
    <row r="51" spans="2:25" ht="12.75" customHeight="1">
      <c r="B51" s="1040" t="s">
        <v>182</v>
      </c>
      <c r="C51" s="1040"/>
      <c r="D51" s="1040"/>
      <c r="E51" s="1040"/>
      <c r="F51" s="1040"/>
      <c r="G51" s="1040"/>
      <c r="H51" s="1040"/>
      <c r="I51" s="1040"/>
      <c r="J51" s="1040"/>
      <c r="K51" s="1040"/>
      <c r="L51" s="1040"/>
      <c r="M51" s="1040"/>
      <c r="N51" s="1040"/>
      <c r="O51" s="1040"/>
      <c r="P51" s="1040"/>
      <c r="Q51" s="1040"/>
      <c r="R51" s="1040"/>
      <c r="S51" s="1040"/>
      <c r="T51" s="1040"/>
      <c r="U51" s="1040"/>
      <c r="V51" s="1040"/>
      <c r="W51" s="1040"/>
      <c r="X51" s="1040"/>
      <c r="Y51" s="1040"/>
    </row>
    <row r="52" spans="2:25" ht="16.5" customHeight="1">
      <c r="B52" s="1040" t="s">
        <v>204</v>
      </c>
      <c r="C52" s="1040"/>
      <c r="D52" s="1040"/>
      <c r="E52" s="1040"/>
      <c r="F52" s="1040"/>
      <c r="G52" s="1040"/>
      <c r="H52" s="1040"/>
      <c r="I52" s="1040"/>
      <c r="J52" s="1040"/>
      <c r="K52" s="1040"/>
      <c r="L52" s="1040"/>
      <c r="M52" s="1040"/>
      <c r="N52" s="1040"/>
      <c r="O52" s="1040"/>
      <c r="P52" s="1040"/>
      <c r="Q52" s="1040"/>
      <c r="R52" s="1040"/>
      <c r="S52" s="1040"/>
      <c r="T52" s="1040"/>
      <c r="U52" s="1040"/>
      <c r="V52" s="1040"/>
      <c r="W52" s="1040"/>
      <c r="X52" s="1040"/>
      <c r="Y52" s="1040"/>
    </row>
    <row r="56" spans="10:25" ht="14.25">
      <c r="J56" s="994"/>
      <c r="K56" s="994"/>
      <c r="L56" s="994"/>
      <c r="M56" s="994"/>
      <c r="N56" s="994"/>
      <c r="O56" s="994"/>
      <c r="P56" s="544"/>
      <c r="Q56" s="544"/>
      <c r="R56" s="544"/>
      <c r="S56" s="544"/>
      <c r="T56" s="544"/>
      <c r="U56" s="544"/>
      <c r="V56" s="984"/>
      <c r="W56" s="544"/>
      <c r="X56" s="418"/>
      <c r="Y56" s="418"/>
    </row>
    <row r="58" spans="10:25" ht="14.25">
      <c r="J58" s="416"/>
      <c r="K58" s="417"/>
      <c r="L58" s="415"/>
      <c r="M58" s="415"/>
      <c r="N58" s="415"/>
      <c r="Q58" s="419"/>
      <c r="R58" s="420"/>
      <c r="S58" s="418"/>
      <c r="T58" s="446"/>
      <c r="U58" s="446"/>
      <c r="V58" s="985"/>
      <c r="W58" s="446"/>
      <c r="X58" s="418"/>
      <c r="Y58" s="418"/>
    </row>
    <row r="59" spans="10:25" ht="14.25">
      <c r="J59" s="416"/>
      <c r="K59" s="417"/>
      <c r="L59" s="415"/>
      <c r="M59" s="415"/>
      <c r="N59" s="415"/>
      <c r="Q59" s="419"/>
      <c r="R59" s="420"/>
      <c r="S59" s="418"/>
      <c r="T59" s="446"/>
      <c r="U59" s="446"/>
      <c r="V59" s="985"/>
      <c r="W59" s="446"/>
      <c r="X59" s="418"/>
      <c r="Y59" s="418"/>
    </row>
    <row r="60" spans="10:25" ht="14.25">
      <c r="J60" s="416"/>
      <c r="K60" s="416"/>
      <c r="L60" s="415"/>
      <c r="M60" s="415"/>
      <c r="N60" s="415"/>
      <c r="Q60" s="419"/>
      <c r="R60" s="419"/>
      <c r="S60" s="418"/>
      <c r="T60" s="446"/>
      <c r="U60" s="446"/>
      <c r="V60" s="985"/>
      <c r="W60" s="446"/>
      <c r="X60" s="418"/>
      <c r="Y60" s="418"/>
    </row>
    <row r="62" spans="10:25" ht="14.25">
      <c r="J62" s="419"/>
      <c r="K62" s="420"/>
      <c r="L62" s="418"/>
      <c r="M62" s="418"/>
      <c r="N62" s="418"/>
      <c r="Q62" s="419"/>
      <c r="S62" s="419"/>
      <c r="T62" s="447"/>
      <c r="U62" s="447"/>
      <c r="V62" s="447"/>
      <c r="W62" s="447"/>
      <c r="X62" s="420"/>
      <c r="Y62" s="418"/>
    </row>
    <row r="63" spans="10:25" ht="14.25">
      <c r="J63" s="419"/>
      <c r="K63" s="420"/>
      <c r="L63" s="418"/>
      <c r="M63" s="418"/>
      <c r="N63" s="418"/>
      <c r="Q63" s="419"/>
      <c r="S63" s="419"/>
      <c r="T63" s="447"/>
      <c r="U63" s="447"/>
      <c r="V63" s="447"/>
      <c r="W63" s="447"/>
      <c r="X63" s="420"/>
      <c r="Y63" s="418"/>
    </row>
    <row r="64" spans="10:25" ht="14.25">
      <c r="J64" s="419"/>
      <c r="K64" s="420"/>
      <c r="L64" s="418"/>
      <c r="M64" s="418"/>
      <c r="N64" s="418"/>
      <c r="Q64" s="419"/>
      <c r="S64" s="419"/>
      <c r="T64" s="447"/>
      <c r="U64" s="447"/>
      <c r="V64" s="447"/>
      <c r="W64" s="447"/>
      <c r="X64" s="420"/>
      <c r="Y64" s="418"/>
    </row>
    <row r="65" spans="10:25" ht="14.25">
      <c r="J65" s="419"/>
      <c r="K65" s="420"/>
      <c r="L65" s="418"/>
      <c r="M65" s="418"/>
      <c r="N65" s="418"/>
      <c r="Q65" s="419"/>
      <c r="S65" s="419"/>
      <c r="T65" s="447"/>
      <c r="U65" s="447"/>
      <c r="V65" s="447"/>
      <c r="W65" s="447"/>
      <c r="X65" s="420"/>
      <c r="Y65" s="418"/>
    </row>
    <row r="66" spans="10:25" ht="14.25">
      <c r="J66" s="419"/>
      <c r="K66" s="420"/>
      <c r="L66" s="418"/>
      <c r="M66" s="418"/>
      <c r="N66" s="418"/>
      <c r="Q66" s="419"/>
      <c r="S66" s="419"/>
      <c r="T66" s="447"/>
      <c r="U66" s="447"/>
      <c r="V66" s="447"/>
      <c r="W66" s="447"/>
      <c r="X66" s="420"/>
      <c r="Y66" s="418"/>
    </row>
    <row r="67" spans="10:25" ht="14.25">
      <c r="J67" s="419"/>
      <c r="K67" s="420"/>
      <c r="L67" s="418"/>
      <c r="M67" s="418"/>
      <c r="N67" s="418"/>
      <c r="Q67" s="419"/>
      <c r="S67" s="419"/>
      <c r="T67" s="447"/>
      <c r="U67" s="447"/>
      <c r="V67" s="447"/>
      <c r="W67" s="447"/>
      <c r="X67" s="420"/>
      <c r="Y67" s="418"/>
    </row>
    <row r="68" spans="10:25" ht="14.25">
      <c r="J68" s="419"/>
      <c r="K68" s="420"/>
      <c r="L68" s="418"/>
      <c r="M68" s="418"/>
      <c r="N68" s="418"/>
      <c r="Q68" s="419"/>
      <c r="S68" s="419"/>
      <c r="T68" s="447"/>
      <c r="U68" s="447"/>
      <c r="V68" s="447"/>
      <c r="W68" s="447"/>
      <c r="X68" s="420"/>
      <c r="Y68" s="418"/>
    </row>
    <row r="69" spans="10:25" ht="14.25">
      <c r="J69" s="419"/>
      <c r="K69" s="420"/>
      <c r="L69" s="418"/>
      <c r="M69" s="418"/>
      <c r="N69" s="418"/>
      <c r="Q69" s="419"/>
      <c r="S69" s="419"/>
      <c r="T69" s="447"/>
      <c r="U69" s="447"/>
      <c r="V69" s="447"/>
      <c r="W69" s="447"/>
      <c r="X69" s="420"/>
      <c r="Y69" s="418"/>
    </row>
    <row r="70" spans="10:25" ht="14.25">
      <c r="J70" s="419"/>
      <c r="K70" s="420"/>
      <c r="L70" s="418"/>
      <c r="M70" s="418"/>
      <c r="N70" s="418"/>
      <c r="Q70" s="419"/>
      <c r="S70" s="419"/>
      <c r="T70" s="447"/>
      <c r="U70" s="447"/>
      <c r="V70" s="447"/>
      <c r="W70" s="447"/>
      <c r="X70" s="420"/>
      <c r="Y70" s="418"/>
    </row>
    <row r="71" spans="10:25" ht="14.25">
      <c r="J71" s="419"/>
      <c r="K71" s="420"/>
      <c r="L71" s="418"/>
      <c r="M71" s="418"/>
      <c r="N71" s="418"/>
      <c r="Q71" s="419"/>
      <c r="S71" s="419"/>
      <c r="T71" s="447"/>
      <c r="U71" s="447"/>
      <c r="V71" s="447"/>
      <c r="W71" s="447"/>
      <c r="X71" s="420"/>
      <c r="Y71" s="418"/>
    </row>
    <row r="72" spans="10:25" ht="14.25">
      <c r="J72" s="419"/>
      <c r="K72" s="420"/>
      <c r="L72" s="418"/>
      <c r="M72" s="418"/>
      <c r="N72" s="418"/>
      <c r="Q72" s="419"/>
      <c r="S72" s="419"/>
      <c r="T72" s="447"/>
      <c r="U72" s="447"/>
      <c r="V72" s="447"/>
      <c r="W72" s="447"/>
      <c r="X72" s="420"/>
      <c r="Y72" s="418"/>
    </row>
    <row r="73" spans="10:25" ht="14.25">
      <c r="J73" s="419"/>
      <c r="K73" s="420"/>
      <c r="L73" s="418"/>
      <c r="M73" s="418"/>
      <c r="N73" s="418"/>
      <c r="Q73" s="419"/>
      <c r="S73" s="419"/>
      <c r="T73" s="447"/>
      <c r="U73" s="447"/>
      <c r="V73" s="447"/>
      <c r="W73" s="447"/>
      <c r="X73" s="420"/>
      <c r="Y73" s="418"/>
    </row>
    <row r="74" spans="10:25" ht="14.25">
      <c r="J74" s="419"/>
      <c r="K74" s="420"/>
      <c r="L74" s="418"/>
      <c r="M74" s="418"/>
      <c r="N74" s="418"/>
      <c r="Q74" s="419"/>
      <c r="S74" s="419"/>
      <c r="T74" s="447"/>
      <c r="U74" s="447"/>
      <c r="V74" s="447"/>
      <c r="W74" s="447"/>
      <c r="X74" s="420"/>
      <c r="Y74" s="418"/>
    </row>
    <row r="75" spans="10:25" ht="14.25">
      <c r="J75" s="419"/>
      <c r="K75" s="420"/>
      <c r="L75" s="418"/>
      <c r="M75" s="418"/>
      <c r="N75" s="418"/>
      <c r="Q75" s="419"/>
      <c r="S75" s="419"/>
      <c r="T75" s="447"/>
      <c r="U75" s="447"/>
      <c r="V75" s="447"/>
      <c r="W75" s="447"/>
      <c r="X75" s="420"/>
      <c r="Y75" s="418"/>
    </row>
    <row r="76" spans="10:25" ht="14.25">
      <c r="J76" s="419"/>
      <c r="K76" s="420"/>
      <c r="L76" s="418"/>
      <c r="M76" s="418"/>
      <c r="N76" s="418"/>
      <c r="Q76" s="419"/>
      <c r="S76" s="419"/>
      <c r="T76" s="447"/>
      <c r="U76" s="447"/>
      <c r="V76" s="447"/>
      <c r="W76" s="447"/>
      <c r="X76" s="420"/>
      <c r="Y76" s="418"/>
    </row>
    <row r="77" spans="10:25" ht="14.25">
      <c r="J77" s="419"/>
      <c r="K77" s="420"/>
      <c r="L77" s="418"/>
      <c r="M77" s="418"/>
      <c r="N77" s="418"/>
      <c r="Q77" s="419"/>
      <c r="S77" s="419"/>
      <c r="T77" s="447"/>
      <c r="U77" s="447"/>
      <c r="V77" s="447"/>
      <c r="W77" s="447"/>
      <c r="X77" s="420"/>
      <c r="Y77" s="418"/>
    </row>
    <row r="78" spans="10:25" ht="14.25">
      <c r="J78" s="419"/>
      <c r="K78" s="420"/>
      <c r="L78" s="418"/>
      <c r="M78" s="418"/>
      <c r="N78" s="418"/>
      <c r="Q78" s="419"/>
      <c r="S78" s="419"/>
      <c r="T78" s="447"/>
      <c r="U78" s="447"/>
      <c r="V78" s="447"/>
      <c r="W78" s="447"/>
      <c r="X78" s="420"/>
      <c r="Y78" s="418"/>
    </row>
    <row r="79" spans="10:25" ht="14.25">
      <c r="J79" s="419"/>
      <c r="K79" s="420"/>
      <c r="L79" s="418"/>
      <c r="M79" s="418"/>
      <c r="N79" s="418"/>
      <c r="Q79" s="419"/>
      <c r="S79" s="419"/>
      <c r="T79" s="447"/>
      <c r="U79" s="447"/>
      <c r="V79" s="447"/>
      <c r="W79" s="447"/>
      <c r="X79" s="420"/>
      <c r="Y79" s="418"/>
    </row>
    <row r="80" spans="10:25" ht="14.25">
      <c r="J80" s="419"/>
      <c r="K80" s="420"/>
      <c r="L80" s="418"/>
      <c r="M80" s="418"/>
      <c r="N80" s="418"/>
      <c r="Q80" s="419"/>
      <c r="S80" s="419"/>
      <c r="T80" s="447"/>
      <c r="U80" s="447"/>
      <c r="V80" s="447"/>
      <c r="W80" s="447"/>
      <c r="X80" s="420"/>
      <c r="Y80" s="418"/>
    </row>
    <row r="81" spans="10:25" ht="14.25">
      <c r="J81" s="419"/>
      <c r="K81" s="420"/>
      <c r="L81" s="418"/>
      <c r="M81" s="418"/>
      <c r="N81" s="418"/>
      <c r="Q81" s="419"/>
      <c r="S81" s="419"/>
      <c r="T81" s="447"/>
      <c r="U81" s="447"/>
      <c r="V81" s="447"/>
      <c r="W81" s="447"/>
      <c r="X81" s="420"/>
      <c r="Y81" s="418"/>
    </row>
    <row r="82" spans="10:25" ht="14.25">
      <c r="J82" s="419"/>
      <c r="K82" s="420"/>
      <c r="L82" s="418"/>
      <c r="M82" s="418"/>
      <c r="N82" s="418"/>
      <c r="Q82" s="419"/>
      <c r="S82" s="419"/>
      <c r="T82" s="447"/>
      <c r="U82" s="447"/>
      <c r="V82" s="447"/>
      <c r="W82" s="447"/>
      <c r="X82" s="420"/>
      <c r="Y82" s="418"/>
    </row>
    <row r="83" spans="10:25" ht="14.25">
      <c r="J83" s="419"/>
      <c r="K83" s="420"/>
      <c r="L83" s="418"/>
      <c r="M83" s="418"/>
      <c r="N83" s="418"/>
      <c r="Q83" s="419"/>
      <c r="S83" s="419"/>
      <c r="T83" s="447"/>
      <c r="U83" s="447"/>
      <c r="V83" s="447"/>
      <c r="W83" s="447"/>
      <c r="X83" s="420"/>
      <c r="Y83" s="418"/>
    </row>
    <row r="84" spans="10:25" ht="14.25">
      <c r="J84" s="419"/>
      <c r="K84" s="420"/>
      <c r="L84" s="418"/>
      <c r="M84" s="418"/>
      <c r="N84" s="418"/>
      <c r="Q84" s="419"/>
      <c r="S84" s="419"/>
      <c r="T84" s="447"/>
      <c r="U84" s="447"/>
      <c r="V84" s="447"/>
      <c r="W84" s="447"/>
      <c r="X84" s="420"/>
      <c r="Y84" s="418"/>
    </row>
    <row r="85" spans="10:25" ht="14.25">
      <c r="J85" s="419"/>
      <c r="K85" s="420"/>
      <c r="L85" s="418"/>
      <c r="M85" s="418"/>
      <c r="N85" s="418"/>
      <c r="Q85" s="419"/>
      <c r="S85" s="419"/>
      <c r="T85" s="447"/>
      <c r="U85" s="447"/>
      <c r="V85" s="447"/>
      <c r="W85" s="447"/>
      <c r="X85" s="420"/>
      <c r="Y85" s="418"/>
    </row>
    <row r="86" spans="10:25" ht="14.25">
      <c r="J86" s="419"/>
      <c r="K86" s="420"/>
      <c r="L86" s="418"/>
      <c r="M86" s="418"/>
      <c r="N86" s="418"/>
      <c r="Q86" s="419"/>
      <c r="S86" s="419"/>
      <c r="T86" s="447"/>
      <c r="U86" s="447"/>
      <c r="V86" s="447"/>
      <c r="W86" s="447"/>
      <c r="X86" s="420"/>
      <c r="Y86" s="418"/>
    </row>
    <row r="87" spans="10:25" ht="14.25">
      <c r="J87" s="419"/>
      <c r="K87" s="420"/>
      <c r="L87" s="418"/>
      <c r="M87" s="418"/>
      <c r="N87" s="418"/>
      <c r="Q87" s="419"/>
      <c r="S87" s="419"/>
      <c r="T87" s="447"/>
      <c r="U87" s="447"/>
      <c r="V87" s="447"/>
      <c r="W87" s="447"/>
      <c r="X87" s="420"/>
      <c r="Y87" s="418"/>
    </row>
    <row r="88" spans="10:25" ht="14.25">
      <c r="J88" s="419"/>
      <c r="K88" s="420"/>
      <c r="L88" s="418"/>
      <c r="M88" s="418"/>
      <c r="N88" s="418"/>
      <c r="Q88" s="419"/>
      <c r="S88" s="419"/>
      <c r="T88" s="447"/>
      <c r="U88" s="447"/>
      <c r="V88" s="447"/>
      <c r="W88" s="447"/>
      <c r="X88" s="420"/>
      <c r="Y88" s="418"/>
    </row>
    <row r="89" spans="10:25" ht="14.25">
      <c r="J89" s="419"/>
      <c r="K89" s="420"/>
      <c r="L89" s="418"/>
      <c r="M89" s="418"/>
      <c r="N89" s="418"/>
      <c r="Q89" s="419"/>
      <c r="S89" s="419"/>
      <c r="T89" s="447"/>
      <c r="U89" s="447"/>
      <c r="V89" s="447"/>
      <c r="W89" s="447"/>
      <c r="X89" s="420"/>
      <c r="Y89" s="418"/>
    </row>
    <row r="90" spans="10:25" ht="14.25">
      <c r="J90" s="419"/>
      <c r="K90" s="420"/>
      <c r="L90" s="418"/>
      <c r="M90" s="418"/>
      <c r="N90" s="418"/>
      <c r="Q90" s="419"/>
      <c r="S90" s="419"/>
      <c r="T90" s="447"/>
      <c r="U90" s="447"/>
      <c r="V90" s="447"/>
      <c r="W90" s="447"/>
      <c r="X90" s="420"/>
      <c r="Y90" s="418"/>
    </row>
    <row r="91" spans="10:25" ht="14.25">
      <c r="J91" s="419"/>
      <c r="K91" s="420"/>
      <c r="L91" s="418"/>
      <c r="M91" s="418"/>
      <c r="N91" s="418"/>
      <c r="Q91" s="419"/>
      <c r="S91" s="419"/>
      <c r="T91" s="447"/>
      <c r="U91" s="447"/>
      <c r="V91" s="447"/>
      <c r="W91" s="447"/>
      <c r="X91" s="420"/>
      <c r="Y91" s="418"/>
    </row>
    <row r="92" spans="10:25" ht="14.25">
      <c r="J92" s="419"/>
      <c r="K92" s="420"/>
      <c r="L92" s="418"/>
      <c r="M92" s="418"/>
      <c r="N92" s="418"/>
      <c r="Q92" s="419"/>
      <c r="S92" s="419"/>
      <c r="T92" s="447"/>
      <c r="U92" s="447"/>
      <c r="V92" s="447"/>
      <c r="W92" s="447"/>
      <c r="X92" s="420"/>
      <c r="Y92" s="418"/>
    </row>
    <row r="93" spans="10:25" ht="14.25">
      <c r="J93" s="419"/>
      <c r="K93" s="420"/>
      <c r="L93" s="418"/>
      <c r="M93" s="418"/>
      <c r="N93" s="418"/>
      <c r="Q93" s="419"/>
      <c r="S93" s="419"/>
      <c r="T93" s="447"/>
      <c r="U93" s="447"/>
      <c r="V93" s="447"/>
      <c r="W93" s="447"/>
      <c r="X93" s="420"/>
      <c r="Y93" s="418"/>
    </row>
    <row r="94" spans="10:25" ht="14.25">
      <c r="J94" s="419"/>
      <c r="K94" s="420"/>
      <c r="L94" s="418"/>
      <c r="M94" s="418"/>
      <c r="N94" s="418"/>
      <c r="Q94" s="419"/>
      <c r="S94" s="419"/>
      <c r="T94" s="447"/>
      <c r="U94" s="447"/>
      <c r="V94" s="447"/>
      <c r="W94" s="447"/>
      <c r="X94" s="420"/>
      <c r="Y94" s="418"/>
    </row>
    <row r="95" spans="10:25" ht="14.25">
      <c r="J95" s="419"/>
      <c r="K95" s="420"/>
      <c r="L95" s="418"/>
      <c r="M95" s="418"/>
      <c r="N95" s="418"/>
      <c r="Q95" s="419"/>
      <c r="S95" s="419"/>
      <c r="T95" s="447"/>
      <c r="U95" s="447"/>
      <c r="V95" s="447"/>
      <c r="W95" s="447"/>
      <c r="X95" s="420"/>
      <c r="Y95" s="418"/>
    </row>
    <row r="96" spans="10:25" ht="14.25">
      <c r="J96" s="419"/>
      <c r="K96" s="420"/>
      <c r="L96" s="418"/>
      <c r="M96" s="418"/>
      <c r="N96" s="418"/>
      <c r="Q96" s="419"/>
      <c r="S96" s="419"/>
      <c r="T96" s="447"/>
      <c r="U96" s="447"/>
      <c r="V96" s="447"/>
      <c r="W96" s="447"/>
      <c r="X96" s="420"/>
      <c r="Y96" s="418"/>
    </row>
    <row r="97" spans="10:25" ht="14.25">
      <c r="J97" s="419"/>
      <c r="K97" s="420"/>
      <c r="L97" s="418"/>
      <c r="M97" s="418"/>
      <c r="N97" s="418"/>
      <c r="Q97" s="419"/>
      <c r="S97" s="419"/>
      <c r="T97" s="447"/>
      <c r="U97" s="447"/>
      <c r="V97" s="447"/>
      <c r="W97" s="447"/>
      <c r="X97" s="420"/>
      <c r="Y97" s="418"/>
    </row>
    <row r="98" spans="10:25" ht="14.25">
      <c r="J98" s="419"/>
      <c r="K98" s="420"/>
      <c r="L98" s="418"/>
      <c r="M98" s="418"/>
      <c r="N98" s="418"/>
      <c r="Q98" s="419"/>
      <c r="S98" s="419"/>
      <c r="T98" s="447"/>
      <c r="U98" s="447"/>
      <c r="V98" s="447"/>
      <c r="W98" s="447"/>
      <c r="X98" s="420"/>
      <c r="Y98" s="418"/>
    </row>
    <row r="99" spans="10:25" ht="14.25">
      <c r="J99" s="419"/>
      <c r="K99" s="420"/>
      <c r="L99" s="418"/>
      <c r="M99" s="418"/>
      <c r="N99" s="418"/>
      <c r="Q99" s="419"/>
      <c r="S99" s="419"/>
      <c r="T99" s="447"/>
      <c r="U99" s="447"/>
      <c r="V99" s="447"/>
      <c r="W99" s="447"/>
      <c r="X99" s="420"/>
      <c r="Y99" s="418"/>
    </row>
    <row r="100" spans="10:25" ht="14.25">
      <c r="J100" s="419"/>
      <c r="K100" s="420"/>
      <c r="L100" s="418"/>
      <c r="M100" s="418"/>
      <c r="N100" s="418"/>
      <c r="Q100" s="419"/>
      <c r="S100" s="419"/>
      <c r="T100" s="447"/>
      <c r="U100" s="447"/>
      <c r="V100" s="447"/>
      <c r="W100" s="447"/>
      <c r="X100" s="420"/>
      <c r="Y100" s="418"/>
    </row>
    <row r="101" spans="10:25" ht="14.25">
      <c r="J101" s="419"/>
      <c r="K101" s="420"/>
      <c r="L101" s="418"/>
      <c r="M101" s="418"/>
      <c r="N101" s="418"/>
      <c r="Q101" s="419"/>
      <c r="S101" s="419"/>
      <c r="T101" s="447"/>
      <c r="U101" s="447"/>
      <c r="V101" s="447"/>
      <c r="W101" s="447"/>
      <c r="X101" s="420"/>
      <c r="Y101" s="418"/>
    </row>
    <row r="102" spans="10:14" ht="14.25">
      <c r="J102" s="416"/>
      <c r="K102" s="416"/>
      <c r="L102" s="415"/>
      <c r="M102" s="415"/>
      <c r="N102" s="415"/>
    </row>
    <row r="103" spans="10:14" ht="14.25">
      <c r="J103" s="416"/>
      <c r="K103" s="416"/>
      <c r="L103" s="415"/>
      <c r="M103" s="415"/>
      <c r="N103" s="415"/>
    </row>
  </sheetData>
  <sheetProtection/>
  <mergeCells count="8">
    <mergeCell ref="B51:Y51"/>
    <mergeCell ref="B52:Y52"/>
    <mergeCell ref="B2:Y2"/>
    <mergeCell ref="B3:Y3"/>
    <mergeCell ref="B47:Y47"/>
    <mergeCell ref="B48:Y48"/>
    <mergeCell ref="B49:Y49"/>
    <mergeCell ref="B50:Y50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3">
    <pageSetUpPr fitToPage="1"/>
  </sheetPr>
  <dimension ref="A1:X47"/>
  <sheetViews>
    <sheetView zoomScalePageLayoutView="0" workbookViewId="0" topLeftCell="A1">
      <selection activeCell="AM23" sqref="Z23:AM25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4" width="8.7109375" style="148" hidden="1" customWidth="1"/>
    <col min="5" max="5" width="9.7109375" style="148" customWidth="1"/>
    <col min="6" max="9" width="8.7109375" style="148" customWidth="1"/>
    <col min="10" max="17" width="9.7109375" style="148" customWidth="1"/>
    <col min="18" max="18" width="8.140625" style="0" customWidth="1"/>
    <col min="19" max="19" width="8.140625" style="493" customWidth="1"/>
    <col min="20" max="21" width="8.140625" style="902" customWidth="1"/>
    <col min="22" max="22" width="5.8515625" style="0" customWidth="1"/>
    <col min="23" max="23" width="2.7109375" style="0" customWidth="1"/>
    <col min="24" max="24" width="7.421875" style="0" customWidth="1"/>
  </cols>
  <sheetData>
    <row r="1" spans="2:22" ht="14.25" customHeight="1">
      <c r="B1" s="30"/>
      <c r="C1" s="147"/>
      <c r="D1" s="147"/>
      <c r="E1" s="147"/>
      <c r="F1" s="147"/>
      <c r="G1" s="147"/>
      <c r="J1" s="149"/>
      <c r="R1" s="16" t="s">
        <v>151</v>
      </c>
      <c r="S1" s="634"/>
      <c r="T1" s="900"/>
      <c r="U1" s="975"/>
      <c r="V1" s="16"/>
    </row>
    <row r="2" spans="2:22" s="44" customFormat="1" ht="30" customHeight="1">
      <c r="B2" s="1048" t="s">
        <v>11</v>
      </c>
      <c r="C2" s="1048"/>
      <c r="D2" s="1048"/>
      <c r="E2" s="1048"/>
      <c r="F2" s="1048"/>
      <c r="G2" s="1048"/>
      <c r="H2" s="1048"/>
      <c r="I2" s="1048"/>
      <c r="J2" s="1048"/>
      <c r="K2" s="1048"/>
      <c r="L2" s="1048"/>
      <c r="M2" s="1048"/>
      <c r="N2" s="1048"/>
      <c r="O2" s="1048"/>
      <c r="P2" s="1048"/>
      <c r="Q2" s="1048"/>
      <c r="R2" s="1048"/>
      <c r="S2" s="631"/>
      <c r="T2" s="897"/>
      <c r="U2" s="972"/>
      <c r="V2" s="158"/>
    </row>
    <row r="3" spans="2:22" ht="15" customHeight="1">
      <c r="B3" s="1049" t="s">
        <v>91</v>
      </c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632"/>
      <c r="T3" s="898"/>
      <c r="U3" s="973"/>
      <c r="V3" s="13"/>
    </row>
    <row r="4" spans="2:22" ht="12.75">
      <c r="B4" s="4"/>
      <c r="C4" s="150"/>
      <c r="D4" s="150"/>
      <c r="E4" s="150"/>
      <c r="J4" s="151"/>
      <c r="L4" s="151"/>
      <c r="N4" s="151"/>
      <c r="O4" s="151" t="s">
        <v>3</v>
      </c>
      <c r="P4" s="151"/>
      <c r="Q4" s="151"/>
      <c r="R4" s="7"/>
      <c r="S4" s="7"/>
      <c r="T4" s="7"/>
      <c r="U4" s="7"/>
      <c r="V4" s="7"/>
    </row>
    <row r="5" spans="2:24" ht="24.75" customHeight="1">
      <c r="B5" s="4"/>
      <c r="C5" s="215">
        <v>1998</v>
      </c>
      <c r="D5" s="216">
        <v>1999</v>
      </c>
      <c r="E5" s="215">
        <v>2000</v>
      </c>
      <c r="F5" s="216">
        <v>2001</v>
      </c>
      <c r="G5" s="216">
        <v>2002</v>
      </c>
      <c r="H5" s="216">
        <v>2003</v>
      </c>
      <c r="I5" s="216">
        <v>2004</v>
      </c>
      <c r="J5" s="216">
        <v>2005</v>
      </c>
      <c r="K5" s="216">
        <v>2006</v>
      </c>
      <c r="L5" s="216">
        <v>2007</v>
      </c>
      <c r="M5" s="216">
        <v>2008</v>
      </c>
      <c r="N5" s="216">
        <v>2009</v>
      </c>
      <c r="O5" s="216">
        <v>2010</v>
      </c>
      <c r="P5" s="216">
        <v>2011</v>
      </c>
      <c r="Q5" s="216">
        <v>2012</v>
      </c>
      <c r="R5" s="216">
        <v>2013</v>
      </c>
      <c r="S5" s="216">
        <v>2014</v>
      </c>
      <c r="T5" s="216">
        <v>2015</v>
      </c>
      <c r="U5" s="217">
        <v>2016</v>
      </c>
      <c r="V5" s="218"/>
      <c r="X5" s="913" t="s">
        <v>254</v>
      </c>
    </row>
    <row r="6" spans="2:24" ht="12.75" customHeight="1">
      <c r="B6" s="57" t="s">
        <v>222</v>
      </c>
      <c r="C6" s="219"/>
      <c r="D6" s="220"/>
      <c r="E6" s="638"/>
      <c r="F6" s="574"/>
      <c r="G6" s="574"/>
      <c r="H6" s="574">
        <f aca="true" t="shared" si="0" ref="H6:Q6">SUM(H9:H36)</f>
        <v>14957.836</v>
      </c>
      <c r="I6" s="574">
        <f t="shared" si="0"/>
        <v>15248.556000000004</v>
      </c>
      <c r="J6" s="574">
        <f t="shared" si="0"/>
        <v>15194.297000000002</v>
      </c>
      <c r="K6" s="574">
        <f t="shared" si="0"/>
        <v>15564.844999999998</v>
      </c>
      <c r="L6" s="574">
        <f t="shared" si="0"/>
        <v>15711.160000000002</v>
      </c>
      <c r="M6" s="574">
        <f t="shared" si="0"/>
        <v>14457.125000000005</v>
      </c>
      <c r="N6" s="574">
        <f t="shared" si="0"/>
        <v>14232.843</v>
      </c>
      <c r="O6" s="574">
        <f t="shared" si="0"/>
        <v>13438.243999999999</v>
      </c>
      <c r="P6" s="574">
        <f t="shared" si="0"/>
        <v>13215.976000000004</v>
      </c>
      <c r="Q6" s="574">
        <f t="shared" si="0"/>
        <v>12103.864999999998</v>
      </c>
      <c r="R6" s="574">
        <f>SUM(R9:R36)</f>
        <v>11886.097999999998</v>
      </c>
      <c r="S6" s="574">
        <f>SUM(S9:S36)</f>
        <v>12557.214</v>
      </c>
      <c r="T6" s="574">
        <f>SUM(T9:T36)</f>
        <v>13713.420000000002</v>
      </c>
      <c r="U6" s="639">
        <f>SUM(U9:U36)</f>
        <v>14647.589999999998</v>
      </c>
      <c r="V6" s="57" t="s">
        <v>222</v>
      </c>
      <c r="X6" s="576">
        <f>U6/T6*100-100</f>
        <v>6.812086262945314</v>
      </c>
    </row>
    <row r="7" spans="2:24" ht="12.75" customHeight="1">
      <c r="B7" s="221" t="s">
        <v>227</v>
      </c>
      <c r="C7" s="222">
        <f aca="true" t="shared" si="1" ref="C7:R7">C9+C12+C13+C16+C17+C18+C15+C20+C24+C27+C28+C30+C34+C35+C36</f>
        <v>13940.822999999999</v>
      </c>
      <c r="D7" s="190">
        <f t="shared" si="1"/>
        <v>14632.826</v>
      </c>
      <c r="E7" s="640">
        <f t="shared" si="1"/>
        <v>14319.107</v>
      </c>
      <c r="F7" s="641">
        <f t="shared" si="1"/>
        <v>14401.916999999998</v>
      </c>
      <c r="G7" s="641">
        <f t="shared" si="1"/>
        <v>14008.012999999999</v>
      </c>
      <c r="H7" s="641">
        <f t="shared" si="1"/>
        <v>13842.554</v>
      </c>
      <c r="I7" s="641">
        <f t="shared" si="1"/>
        <v>14127.452000000001</v>
      </c>
      <c r="J7" s="641">
        <f t="shared" si="1"/>
        <v>14111.851</v>
      </c>
      <c r="K7" s="641">
        <f t="shared" si="1"/>
        <v>14367.267999999998</v>
      </c>
      <c r="L7" s="641">
        <f t="shared" si="1"/>
        <v>14363.818000000001</v>
      </c>
      <c r="M7" s="641">
        <f t="shared" si="1"/>
        <v>13152.925</v>
      </c>
      <c r="N7" s="641">
        <f t="shared" si="1"/>
        <v>13298.97</v>
      </c>
      <c r="O7" s="641">
        <f t="shared" si="1"/>
        <v>12554.592</v>
      </c>
      <c r="P7" s="624">
        <f t="shared" si="1"/>
        <v>12347.393000000004</v>
      </c>
      <c r="Q7" s="624">
        <f t="shared" si="1"/>
        <v>11297.139</v>
      </c>
      <c r="R7" s="624">
        <f t="shared" si="1"/>
        <v>11097.111</v>
      </c>
      <c r="S7" s="624">
        <f>S9+S12+S13+S16+S17+S18+S15+S20+S24+S27+S28+S30+S34+S35+S36</f>
        <v>11657.751999999999</v>
      </c>
      <c r="T7" s="624">
        <f>T9+T12+T13+T16+T17+T18+T15+T20+T24+T27+T28+T30+T34+T35+T36</f>
        <v>12705.169000000002</v>
      </c>
      <c r="U7" s="642">
        <f>U9+U12+U13+U16+U17+U18+U15+U20+U24+U27+U28+U30+U34+U35+U36</f>
        <v>13480.429999999997</v>
      </c>
      <c r="V7" s="221" t="s">
        <v>227</v>
      </c>
      <c r="X7" s="923">
        <f>U7/T7*100-100</f>
        <v>6.101933787736272</v>
      </c>
    </row>
    <row r="8" spans="2:24" ht="12.75" customHeight="1">
      <c r="B8" s="56" t="s">
        <v>231</v>
      </c>
      <c r="C8" s="223"/>
      <c r="D8" s="224"/>
      <c r="E8" s="643"/>
      <c r="F8" s="627"/>
      <c r="G8" s="627"/>
      <c r="H8" s="627">
        <f>H6-H7</f>
        <v>1115.2819999999992</v>
      </c>
      <c r="I8" s="627">
        <f aca="true" t="shared" si="2" ref="I8:R8">I6-I7</f>
        <v>1121.104000000003</v>
      </c>
      <c r="J8" s="627">
        <f t="shared" si="2"/>
        <v>1082.4460000000017</v>
      </c>
      <c r="K8" s="627">
        <f t="shared" si="2"/>
        <v>1197.5769999999993</v>
      </c>
      <c r="L8" s="627">
        <f t="shared" si="2"/>
        <v>1347.3420000000006</v>
      </c>
      <c r="M8" s="627">
        <f t="shared" si="2"/>
        <v>1304.2000000000062</v>
      </c>
      <c r="N8" s="627">
        <f t="shared" si="2"/>
        <v>933.8730000000014</v>
      </c>
      <c r="O8" s="627">
        <f t="shared" si="2"/>
        <v>883.6519999999982</v>
      </c>
      <c r="P8" s="627">
        <f t="shared" si="2"/>
        <v>868.5830000000005</v>
      </c>
      <c r="Q8" s="627">
        <f>Q6-Q7</f>
        <v>806.7259999999987</v>
      </c>
      <c r="R8" s="627">
        <f t="shared" si="2"/>
        <v>788.9869999999974</v>
      </c>
      <c r="S8" s="627">
        <f>S6-S7</f>
        <v>899.4620000000014</v>
      </c>
      <c r="T8" s="627">
        <f>T6-T7</f>
        <v>1008.2510000000002</v>
      </c>
      <c r="U8" s="644">
        <f>U6-U7</f>
        <v>1167.1600000000017</v>
      </c>
      <c r="V8" s="56" t="s">
        <v>231</v>
      </c>
      <c r="X8" s="924">
        <f>U8/T8*100-100</f>
        <v>15.760857167511006</v>
      </c>
    </row>
    <row r="9" spans="1:24" ht="12.75" customHeight="1">
      <c r="A9" s="8"/>
      <c r="B9" s="225" t="s">
        <v>62</v>
      </c>
      <c r="C9" s="143">
        <v>452.129</v>
      </c>
      <c r="D9" s="138">
        <v>489.621</v>
      </c>
      <c r="E9" s="583">
        <v>515.204</v>
      </c>
      <c r="F9" s="583">
        <v>488.683</v>
      </c>
      <c r="G9" s="583">
        <v>467.569</v>
      </c>
      <c r="H9" s="583">
        <v>458.796</v>
      </c>
      <c r="I9" s="583">
        <v>484.757</v>
      </c>
      <c r="J9" s="583">
        <v>480.088</v>
      </c>
      <c r="K9" s="583">
        <v>526.141</v>
      </c>
      <c r="L9" s="583">
        <v>524.795</v>
      </c>
      <c r="M9" s="583">
        <v>535.947</v>
      </c>
      <c r="N9" s="583">
        <v>476.194</v>
      </c>
      <c r="O9" s="583">
        <v>547.34</v>
      </c>
      <c r="P9" s="583">
        <v>572.211</v>
      </c>
      <c r="Q9" s="583">
        <v>487.377</v>
      </c>
      <c r="R9" s="583">
        <v>486.065</v>
      </c>
      <c r="S9" s="583">
        <v>482.939</v>
      </c>
      <c r="T9" s="583">
        <v>501.066</v>
      </c>
      <c r="U9" s="645">
        <v>539.281</v>
      </c>
      <c r="V9" s="226" t="s">
        <v>62</v>
      </c>
      <c r="X9" s="585">
        <f>U9/T9*100-100</f>
        <v>7.626739790766095</v>
      </c>
    </row>
    <row r="10" spans="1:24" ht="12.75" customHeight="1">
      <c r="A10" s="8"/>
      <c r="B10" s="221" t="s">
        <v>45</v>
      </c>
      <c r="C10" s="144"/>
      <c r="D10" s="139"/>
      <c r="E10" s="587"/>
      <c r="F10" s="587"/>
      <c r="G10" s="587">
        <v>13.82</v>
      </c>
      <c r="H10" s="587">
        <v>16.64</v>
      </c>
      <c r="I10" s="587">
        <v>24.91</v>
      </c>
      <c r="J10" s="587">
        <v>32.7</v>
      </c>
      <c r="K10" s="587">
        <v>32.481</v>
      </c>
      <c r="L10" s="587">
        <v>41.042</v>
      </c>
      <c r="M10" s="587">
        <v>43.758</v>
      </c>
      <c r="N10" s="587">
        <v>24.972</v>
      </c>
      <c r="O10" s="587">
        <v>15.646</v>
      </c>
      <c r="P10" s="603">
        <v>18.631</v>
      </c>
      <c r="Q10" s="603">
        <v>19.752</v>
      </c>
      <c r="R10" s="603">
        <v>20.718</v>
      </c>
      <c r="S10" s="603">
        <v>21.186</v>
      </c>
      <c r="T10" s="603">
        <v>24.256</v>
      </c>
      <c r="U10" s="646">
        <v>27.466</v>
      </c>
      <c r="V10" s="227" t="s">
        <v>45</v>
      </c>
      <c r="X10" s="601">
        <f aca="true" t="shared" si="3" ref="X10:X44">U10/T10*100-100</f>
        <v>13.233839050131934</v>
      </c>
    </row>
    <row r="11" spans="1:24" ht="12.75" customHeight="1">
      <c r="A11" s="8"/>
      <c r="B11" s="228" t="s">
        <v>47</v>
      </c>
      <c r="C11" s="145"/>
      <c r="D11" s="140"/>
      <c r="E11" s="592"/>
      <c r="F11" s="592"/>
      <c r="G11" s="592"/>
      <c r="H11" s="592">
        <v>152.981</v>
      </c>
      <c r="I11" s="592">
        <v>143.622</v>
      </c>
      <c r="J11" s="592">
        <v>151.699</v>
      </c>
      <c r="K11" s="592">
        <v>156.686</v>
      </c>
      <c r="L11" s="592">
        <v>174.456</v>
      </c>
      <c r="M11" s="592">
        <v>182.554</v>
      </c>
      <c r="N11" s="592">
        <v>167.708</v>
      </c>
      <c r="O11" s="592">
        <v>169.58</v>
      </c>
      <c r="P11" s="592">
        <v>173.595</v>
      </c>
      <c r="Q11" s="592">
        <v>173.997</v>
      </c>
      <c r="R11" s="592">
        <v>164.746</v>
      </c>
      <c r="S11" s="592">
        <v>192.314</v>
      </c>
      <c r="T11" s="592">
        <v>230.857</v>
      </c>
      <c r="U11" s="598">
        <v>259.693</v>
      </c>
      <c r="V11" s="229" t="s">
        <v>47</v>
      </c>
      <c r="X11" s="599">
        <f t="shared" si="3"/>
        <v>12.490849313644375</v>
      </c>
    </row>
    <row r="12" spans="1:24" ht="12.75" customHeight="1">
      <c r="A12" s="8"/>
      <c r="B12" s="221" t="s">
        <v>58</v>
      </c>
      <c r="C12" s="144">
        <v>162.508</v>
      </c>
      <c r="D12" s="139">
        <v>143.727</v>
      </c>
      <c r="E12" s="587">
        <v>112.69</v>
      </c>
      <c r="F12" s="587">
        <v>96.173</v>
      </c>
      <c r="G12" s="587">
        <v>111.585</v>
      </c>
      <c r="H12" s="587">
        <v>96.078</v>
      </c>
      <c r="I12" s="587">
        <v>121.49</v>
      </c>
      <c r="J12" s="587">
        <v>146.885</v>
      </c>
      <c r="K12" s="587">
        <v>154.385</v>
      </c>
      <c r="L12" s="587">
        <v>159.347</v>
      </c>
      <c r="M12" s="587">
        <v>150.145</v>
      </c>
      <c r="N12" s="587">
        <v>112.201</v>
      </c>
      <c r="O12" s="587">
        <v>153.587</v>
      </c>
      <c r="P12" s="603">
        <v>169.974</v>
      </c>
      <c r="Q12" s="603">
        <v>170.531</v>
      </c>
      <c r="R12" s="603">
        <v>181.896</v>
      </c>
      <c r="S12" s="603">
        <v>188.612</v>
      </c>
      <c r="T12" s="603">
        <v>206.999</v>
      </c>
      <c r="U12" s="646">
        <v>222.895</v>
      </c>
      <c r="V12" s="227" t="s">
        <v>58</v>
      </c>
      <c r="X12" s="601">
        <f t="shared" si="3"/>
        <v>7.679264151034545</v>
      </c>
    </row>
    <row r="13" spans="1:24" ht="12.75" customHeight="1">
      <c r="A13" s="8"/>
      <c r="B13" s="228" t="s">
        <v>63</v>
      </c>
      <c r="C13" s="145">
        <v>3735.987</v>
      </c>
      <c r="D13" s="140">
        <v>3802.176</v>
      </c>
      <c r="E13" s="592">
        <v>3378.343</v>
      </c>
      <c r="F13" s="592">
        <v>3341.718</v>
      </c>
      <c r="G13" s="592">
        <v>3252.898</v>
      </c>
      <c r="H13" s="592">
        <v>3236.938</v>
      </c>
      <c r="I13" s="592">
        <v>3266.825</v>
      </c>
      <c r="J13" s="592">
        <v>3319.259</v>
      </c>
      <c r="K13" s="592">
        <v>3467.961</v>
      </c>
      <c r="L13" s="592">
        <v>3148.163</v>
      </c>
      <c r="M13" s="592">
        <v>3090.04</v>
      </c>
      <c r="N13" s="592">
        <v>3807.175</v>
      </c>
      <c r="O13" s="592">
        <v>2916.259</v>
      </c>
      <c r="P13" s="592">
        <v>3173.634</v>
      </c>
      <c r="Q13" s="592">
        <v>3082.58</v>
      </c>
      <c r="R13" s="592">
        <v>2952.431</v>
      </c>
      <c r="S13" s="592">
        <v>3036.773</v>
      </c>
      <c r="T13" s="592">
        <v>3206.042</v>
      </c>
      <c r="U13" s="598">
        <v>3351.607</v>
      </c>
      <c r="V13" s="229" t="s">
        <v>63</v>
      </c>
      <c r="X13" s="599">
        <f t="shared" si="3"/>
        <v>4.540333532748477</v>
      </c>
    </row>
    <row r="14" spans="1:24" ht="12.75" customHeight="1">
      <c r="A14" s="8"/>
      <c r="B14" s="221" t="s">
        <v>48</v>
      </c>
      <c r="C14" s="144"/>
      <c r="D14" s="139"/>
      <c r="E14" s="587"/>
      <c r="F14" s="587"/>
      <c r="G14" s="587"/>
      <c r="H14" s="587">
        <v>15.602</v>
      </c>
      <c r="I14" s="587">
        <v>16.436</v>
      </c>
      <c r="J14" s="587">
        <v>19.64</v>
      </c>
      <c r="K14" s="587">
        <v>25.363</v>
      </c>
      <c r="L14" s="587">
        <v>30.912</v>
      </c>
      <c r="M14" s="587">
        <v>24.579</v>
      </c>
      <c r="N14" s="587">
        <v>9.946</v>
      </c>
      <c r="O14" s="587">
        <v>10.295</v>
      </c>
      <c r="P14" s="603">
        <v>17.07</v>
      </c>
      <c r="Q14" s="603">
        <v>19.424</v>
      </c>
      <c r="R14" s="603">
        <v>19.694</v>
      </c>
      <c r="S14" s="603">
        <v>21.135</v>
      </c>
      <c r="T14" s="603">
        <v>21.033</v>
      </c>
      <c r="U14" s="646">
        <v>22.997</v>
      </c>
      <c r="V14" s="227" t="s">
        <v>48</v>
      </c>
      <c r="X14" s="601">
        <f t="shared" si="3"/>
        <v>9.337707412161848</v>
      </c>
    </row>
    <row r="15" spans="1:24" ht="12.75" customHeight="1">
      <c r="A15" s="8"/>
      <c r="B15" s="228" t="s">
        <v>66</v>
      </c>
      <c r="C15" s="145">
        <v>145.702</v>
      </c>
      <c r="D15" s="140">
        <v>174.242</v>
      </c>
      <c r="E15" s="592">
        <v>230.795</v>
      </c>
      <c r="F15" s="592">
        <v>164.73</v>
      </c>
      <c r="G15" s="592">
        <v>156.125</v>
      </c>
      <c r="H15" s="592">
        <v>145.223</v>
      </c>
      <c r="I15" s="592">
        <v>154.136</v>
      </c>
      <c r="J15" s="592">
        <v>171.742</v>
      </c>
      <c r="K15" s="592">
        <v>178.484</v>
      </c>
      <c r="L15" s="592">
        <v>186.325</v>
      </c>
      <c r="M15" s="592">
        <v>151.607</v>
      </c>
      <c r="N15" s="592">
        <v>57.453</v>
      </c>
      <c r="O15" s="592">
        <v>88.446</v>
      </c>
      <c r="P15" s="592">
        <v>89.904</v>
      </c>
      <c r="Q15" s="592">
        <v>79.498</v>
      </c>
      <c r="R15" s="592">
        <v>74.367</v>
      </c>
      <c r="S15" s="592">
        <v>96.284</v>
      </c>
      <c r="T15" s="592">
        <v>124.804</v>
      </c>
      <c r="U15" s="598">
        <v>146.672</v>
      </c>
      <c r="V15" s="229" t="s">
        <v>66</v>
      </c>
      <c r="X15" s="599">
        <f t="shared" si="3"/>
        <v>17.52187429890067</v>
      </c>
    </row>
    <row r="16" spans="1:24" ht="12.75" customHeight="1">
      <c r="A16" s="8"/>
      <c r="B16" s="221" t="s">
        <v>59</v>
      </c>
      <c r="C16" s="144">
        <v>180.145</v>
      </c>
      <c r="D16" s="139">
        <v>261.711</v>
      </c>
      <c r="E16" s="587">
        <v>290.222</v>
      </c>
      <c r="F16" s="587">
        <v>280.214</v>
      </c>
      <c r="G16" s="587">
        <v>268.489</v>
      </c>
      <c r="H16" s="587">
        <v>257.293</v>
      </c>
      <c r="I16" s="587">
        <v>289.691</v>
      </c>
      <c r="J16" s="587">
        <v>269.728</v>
      </c>
      <c r="K16" s="587">
        <v>267.669</v>
      </c>
      <c r="L16" s="587">
        <v>279.745</v>
      </c>
      <c r="M16" s="587">
        <v>267.295</v>
      </c>
      <c r="N16" s="587">
        <v>219.73</v>
      </c>
      <c r="O16" s="587">
        <v>141.501</v>
      </c>
      <c r="P16" s="603">
        <v>97.68</v>
      </c>
      <c r="Q16" s="603">
        <v>58.479</v>
      </c>
      <c r="R16" s="603">
        <v>58.696</v>
      </c>
      <c r="S16" s="603">
        <v>71.222</v>
      </c>
      <c r="T16" s="603">
        <v>75.804</v>
      </c>
      <c r="U16" s="646">
        <v>78.873</v>
      </c>
      <c r="V16" s="227" t="s">
        <v>59</v>
      </c>
      <c r="X16" s="601">
        <f t="shared" si="3"/>
        <v>4.0485990185214575</v>
      </c>
    </row>
    <row r="17" spans="1:24" ht="12.75" customHeight="1">
      <c r="A17" s="8"/>
      <c r="B17" s="228" t="s">
        <v>64</v>
      </c>
      <c r="C17" s="145">
        <v>1192.53</v>
      </c>
      <c r="D17" s="140">
        <v>1406.246</v>
      </c>
      <c r="E17" s="592">
        <v>1381.256</v>
      </c>
      <c r="F17" s="592">
        <v>1425.573</v>
      </c>
      <c r="G17" s="592">
        <v>1331.877</v>
      </c>
      <c r="H17" s="592">
        <v>1382.109</v>
      </c>
      <c r="I17" s="592">
        <v>1517.286</v>
      </c>
      <c r="J17" s="592">
        <v>1528.877</v>
      </c>
      <c r="K17" s="592">
        <v>1634.608</v>
      </c>
      <c r="L17" s="592">
        <v>1614.835</v>
      </c>
      <c r="M17" s="592">
        <v>1161.176</v>
      </c>
      <c r="N17" s="592">
        <v>952.772</v>
      </c>
      <c r="O17" s="592">
        <v>982.015</v>
      </c>
      <c r="P17" s="592">
        <v>808.051</v>
      </c>
      <c r="Q17" s="592">
        <v>699.589</v>
      </c>
      <c r="R17" s="592">
        <v>722.689</v>
      </c>
      <c r="S17" s="592">
        <v>855.308</v>
      </c>
      <c r="T17" s="592">
        <v>1034.232</v>
      </c>
      <c r="U17" s="598">
        <v>1147.007</v>
      </c>
      <c r="V17" s="229" t="s">
        <v>64</v>
      </c>
      <c r="X17" s="599">
        <f t="shared" si="3"/>
        <v>10.904226517841266</v>
      </c>
    </row>
    <row r="18" spans="1:24" ht="12.75" customHeight="1">
      <c r="A18" s="8"/>
      <c r="B18" s="221" t="s">
        <v>65</v>
      </c>
      <c r="C18" s="144">
        <v>1943.553</v>
      </c>
      <c r="D18" s="139">
        <v>2148.423</v>
      </c>
      <c r="E18" s="587">
        <v>2133.884</v>
      </c>
      <c r="F18" s="587">
        <v>2254.732</v>
      </c>
      <c r="G18" s="587">
        <v>2145.071</v>
      </c>
      <c r="H18" s="587">
        <v>2009.246</v>
      </c>
      <c r="I18" s="587">
        <v>2013.709</v>
      </c>
      <c r="J18" s="587">
        <v>2067.789</v>
      </c>
      <c r="K18" s="587">
        <v>2000.549</v>
      </c>
      <c r="L18" s="587">
        <v>2064.543</v>
      </c>
      <c r="M18" s="587">
        <v>2050.282</v>
      </c>
      <c r="N18" s="587">
        <v>2302.398</v>
      </c>
      <c r="O18" s="587">
        <v>2251.669</v>
      </c>
      <c r="P18" s="603">
        <v>2204.229</v>
      </c>
      <c r="Q18" s="603">
        <v>1898.76</v>
      </c>
      <c r="R18" s="603">
        <v>1790.456</v>
      </c>
      <c r="S18" s="603">
        <v>1795.885</v>
      </c>
      <c r="T18" s="603">
        <v>1917.226</v>
      </c>
      <c r="U18" s="646">
        <v>2015.177</v>
      </c>
      <c r="V18" s="227" t="s">
        <v>65</v>
      </c>
      <c r="X18" s="601">
        <f t="shared" si="3"/>
        <v>5.108996018205474</v>
      </c>
    </row>
    <row r="19" spans="1:24" ht="12.75" customHeight="1">
      <c r="A19" s="8"/>
      <c r="B19" s="10" t="s">
        <v>76</v>
      </c>
      <c r="C19" s="145"/>
      <c r="D19" s="140"/>
      <c r="E19" s="592">
        <v>92.36</v>
      </c>
      <c r="F19" s="592">
        <v>108.633</v>
      </c>
      <c r="G19" s="592">
        <v>95.21</v>
      </c>
      <c r="H19" s="592">
        <v>104.52</v>
      </c>
      <c r="I19" s="592">
        <v>99.84</v>
      </c>
      <c r="J19" s="592">
        <v>102.123</v>
      </c>
      <c r="K19" s="592">
        <v>114.447</v>
      </c>
      <c r="L19" s="592">
        <v>106.202</v>
      </c>
      <c r="M19" s="592">
        <v>95.697</v>
      </c>
      <c r="N19" s="592">
        <v>53.252</v>
      </c>
      <c r="O19" s="592">
        <v>46.209</v>
      </c>
      <c r="P19" s="592">
        <v>48.883</v>
      </c>
      <c r="Q19" s="592">
        <v>40.825</v>
      </c>
      <c r="R19" s="597">
        <v>27.802</v>
      </c>
      <c r="S19" s="592">
        <v>33.962</v>
      </c>
      <c r="T19" s="592">
        <v>35.715</v>
      </c>
      <c r="U19" s="598">
        <v>44.106</v>
      </c>
      <c r="V19" s="73" t="s">
        <v>76</v>
      </c>
      <c r="X19" s="599">
        <f t="shared" si="3"/>
        <v>23.494330113397723</v>
      </c>
    </row>
    <row r="20" spans="1:24" ht="12.75" customHeight="1">
      <c r="A20" s="8"/>
      <c r="B20" s="453" t="s">
        <v>67</v>
      </c>
      <c r="C20" s="454">
        <v>2378.516</v>
      </c>
      <c r="D20" s="204">
        <v>2338.464</v>
      </c>
      <c r="E20" s="603">
        <v>2423.084</v>
      </c>
      <c r="F20" s="603">
        <v>2413.455</v>
      </c>
      <c r="G20" s="603">
        <v>2279.612</v>
      </c>
      <c r="H20" s="603">
        <v>2247.019</v>
      </c>
      <c r="I20" s="603">
        <v>2264.688</v>
      </c>
      <c r="J20" s="603">
        <v>2237.444</v>
      </c>
      <c r="K20" s="603">
        <v>2326.049</v>
      </c>
      <c r="L20" s="603">
        <v>2493.106</v>
      </c>
      <c r="M20" s="603">
        <v>2161.682</v>
      </c>
      <c r="N20" s="603">
        <v>2159.463</v>
      </c>
      <c r="O20" s="603">
        <v>1961.579</v>
      </c>
      <c r="P20" s="603">
        <v>1749.074</v>
      </c>
      <c r="Q20" s="603">
        <v>1402.089</v>
      </c>
      <c r="R20" s="603">
        <v>1304.648</v>
      </c>
      <c r="S20" s="603">
        <v>1360.578</v>
      </c>
      <c r="T20" s="603">
        <v>1569.085</v>
      </c>
      <c r="U20" s="646">
        <v>1824.382</v>
      </c>
      <c r="V20" s="455" t="s">
        <v>67</v>
      </c>
      <c r="X20" s="601">
        <f t="shared" si="3"/>
        <v>16.27043786665476</v>
      </c>
    </row>
    <row r="21" spans="1:24" ht="12.75" customHeight="1">
      <c r="A21" s="8"/>
      <c r="B21" s="228" t="s">
        <v>46</v>
      </c>
      <c r="C21" s="145"/>
      <c r="D21" s="140"/>
      <c r="E21" s="592">
        <f>7.103+0.051+1.057</f>
        <v>8.211</v>
      </c>
      <c r="F21" s="592">
        <f>7.562+0.117+2.323</f>
        <v>10.002</v>
      </c>
      <c r="G21" s="592">
        <f>7.942+0.065+1.115</f>
        <v>9.122</v>
      </c>
      <c r="H21" s="592">
        <f>7.797+0.12+1.228</f>
        <v>9.145</v>
      </c>
      <c r="I21" s="592">
        <f>18.22+0.055+1.375</f>
        <v>19.65</v>
      </c>
      <c r="J21" s="592">
        <f>17.687+0.09+1.433</f>
        <v>19.21</v>
      </c>
      <c r="K21" s="592">
        <f>18.639+0.076+1.629</f>
        <v>20.344</v>
      </c>
      <c r="L21" s="592">
        <f>22.878+0.087+2.142</f>
        <v>25.107</v>
      </c>
      <c r="M21" s="592">
        <f>22.241+0.044+1.928</f>
        <v>24.213</v>
      </c>
      <c r="N21" s="592">
        <v>15.945</v>
      </c>
      <c r="O21" s="592">
        <v>15.062</v>
      </c>
      <c r="P21" s="592">
        <v>14.665</v>
      </c>
      <c r="Q21" s="592">
        <v>10.967</v>
      </c>
      <c r="R21" s="592">
        <v>7.047</v>
      </c>
      <c r="S21" s="592">
        <v>8.271</v>
      </c>
      <c r="T21" s="592">
        <v>10.078</v>
      </c>
      <c r="U21" s="598">
        <v>12.468</v>
      </c>
      <c r="V21" s="229" t="s">
        <v>46</v>
      </c>
      <c r="X21" s="599">
        <f t="shared" si="3"/>
        <v>23.715022821988498</v>
      </c>
    </row>
    <row r="22" spans="1:24" ht="12.75" customHeight="1">
      <c r="A22" s="8"/>
      <c r="B22" s="453" t="s">
        <v>50</v>
      </c>
      <c r="C22" s="454"/>
      <c r="D22" s="204"/>
      <c r="E22" s="603"/>
      <c r="F22" s="603"/>
      <c r="G22" s="603"/>
      <c r="H22" s="603">
        <v>8.713</v>
      </c>
      <c r="I22" s="603">
        <v>11.217</v>
      </c>
      <c r="J22" s="603">
        <v>16.602</v>
      </c>
      <c r="K22" s="603">
        <v>25.582</v>
      </c>
      <c r="L22" s="603">
        <v>32.771</v>
      </c>
      <c r="M22" s="603">
        <v>19.831</v>
      </c>
      <c r="N22" s="603">
        <v>5.367</v>
      </c>
      <c r="O22" s="603">
        <v>6.365</v>
      </c>
      <c r="P22" s="603">
        <v>10.98</v>
      </c>
      <c r="Q22" s="603">
        <v>10.665</v>
      </c>
      <c r="R22" s="603">
        <v>10.636</v>
      </c>
      <c r="S22" s="603">
        <v>12.452</v>
      </c>
      <c r="T22" s="603">
        <v>13.766</v>
      </c>
      <c r="U22" s="646">
        <v>16.357</v>
      </c>
      <c r="V22" s="455" t="s">
        <v>50</v>
      </c>
      <c r="X22" s="601">
        <f t="shared" si="3"/>
        <v>18.821734708702593</v>
      </c>
    </row>
    <row r="23" spans="1:24" ht="12.75" customHeight="1">
      <c r="A23" s="8"/>
      <c r="B23" s="228" t="s">
        <v>51</v>
      </c>
      <c r="C23" s="145"/>
      <c r="D23" s="140"/>
      <c r="E23" s="592"/>
      <c r="F23" s="592"/>
      <c r="G23" s="592"/>
      <c r="H23" s="592">
        <v>7.543</v>
      </c>
      <c r="I23" s="592">
        <v>9.493</v>
      </c>
      <c r="J23" s="592">
        <v>10.467</v>
      </c>
      <c r="K23" s="592">
        <v>14.234</v>
      </c>
      <c r="L23" s="592">
        <v>21.606</v>
      </c>
      <c r="M23" s="592">
        <v>22.217</v>
      </c>
      <c r="N23" s="592">
        <v>7.515</v>
      </c>
      <c r="O23" s="592">
        <v>7.97</v>
      </c>
      <c r="P23" s="592">
        <v>13.234</v>
      </c>
      <c r="Q23" s="592">
        <v>12.165</v>
      </c>
      <c r="R23" s="592">
        <v>12.163</v>
      </c>
      <c r="S23" s="592">
        <v>14.461</v>
      </c>
      <c r="T23" s="592">
        <v>17.071</v>
      </c>
      <c r="U23" s="598">
        <v>20.284</v>
      </c>
      <c r="V23" s="229" t="s">
        <v>51</v>
      </c>
      <c r="X23" s="599">
        <f t="shared" si="3"/>
        <v>18.821393005682125</v>
      </c>
    </row>
    <row r="24" spans="1:24" ht="12.75" customHeight="1">
      <c r="A24" s="8"/>
      <c r="B24" s="453" t="s">
        <v>68</v>
      </c>
      <c r="C24" s="454">
        <v>35.928</v>
      </c>
      <c r="D24" s="204">
        <v>40.476</v>
      </c>
      <c r="E24" s="603">
        <v>41.896</v>
      </c>
      <c r="F24" s="603">
        <v>42.833</v>
      </c>
      <c r="G24" s="603">
        <v>43.403</v>
      </c>
      <c r="H24" s="603">
        <v>43.62</v>
      </c>
      <c r="I24" s="603">
        <v>48.234</v>
      </c>
      <c r="J24" s="603">
        <v>48.517</v>
      </c>
      <c r="K24" s="603">
        <v>50.837</v>
      </c>
      <c r="L24" s="603">
        <v>51.332</v>
      </c>
      <c r="M24" s="603">
        <v>52.359</v>
      </c>
      <c r="N24" s="603">
        <v>47.265</v>
      </c>
      <c r="O24" s="603">
        <v>49.726</v>
      </c>
      <c r="P24" s="603">
        <v>49.881</v>
      </c>
      <c r="Q24" s="603">
        <v>53.008</v>
      </c>
      <c r="R24" s="603">
        <v>46.624</v>
      </c>
      <c r="S24" s="603">
        <v>49.793</v>
      </c>
      <c r="T24" s="603">
        <v>46.473</v>
      </c>
      <c r="U24" s="646">
        <v>50.746</v>
      </c>
      <c r="V24" s="455" t="s">
        <v>68</v>
      </c>
      <c r="X24" s="601">
        <f t="shared" si="3"/>
        <v>9.194586103759178</v>
      </c>
    </row>
    <row r="25" spans="1:24" ht="12.75" customHeight="1">
      <c r="A25" s="8"/>
      <c r="B25" s="228" t="s">
        <v>49</v>
      </c>
      <c r="C25" s="145"/>
      <c r="D25" s="140"/>
      <c r="E25" s="592"/>
      <c r="F25" s="592"/>
      <c r="G25" s="592"/>
      <c r="H25" s="592">
        <v>208.426</v>
      </c>
      <c r="I25" s="592">
        <v>207.055</v>
      </c>
      <c r="J25" s="592">
        <v>198.982</v>
      </c>
      <c r="K25" s="592">
        <v>187.676</v>
      </c>
      <c r="L25" s="592">
        <v>171.661</v>
      </c>
      <c r="M25" s="592">
        <v>153.278</v>
      </c>
      <c r="N25" s="592">
        <v>60.189</v>
      </c>
      <c r="O25" s="592">
        <v>43.476</v>
      </c>
      <c r="P25" s="592">
        <v>45.094</v>
      </c>
      <c r="Q25" s="592">
        <v>50.398</v>
      </c>
      <c r="R25" s="592">
        <v>56.139</v>
      </c>
      <c r="S25" s="592">
        <v>67.476</v>
      </c>
      <c r="T25" s="592">
        <v>77.171</v>
      </c>
      <c r="U25" s="598">
        <v>96.555</v>
      </c>
      <c r="V25" s="229" t="s">
        <v>49</v>
      </c>
      <c r="X25" s="599">
        <f t="shared" si="3"/>
        <v>25.118243899910595</v>
      </c>
    </row>
    <row r="26" spans="1:24" ht="12.75" customHeight="1">
      <c r="A26" s="8"/>
      <c r="B26" s="453" t="s">
        <v>52</v>
      </c>
      <c r="C26" s="454"/>
      <c r="D26" s="204"/>
      <c r="E26" s="603"/>
      <c r="F26" s="603"/>
      <c r="G26" s="603"/>
      <c r="H26" s="603">
        <f>0.069+6.519+0.634+0.008</f>
        <v>7.23</v>
      </c>
      <c r="I26" s="603">
        <f>0.084+5.398+0.721+0.015</f>
        <v>6.217999999999999</v>
      </c>
      <c r="J26" s="603">
        <f>0.083+5.675+0.778+0.016</f>
        <v>6.552</v>
      </c>
      <c r="K26" s="603">
        <f>0.061+5.862+0.803+0.019</f>
        <v>6.745</v>
      </c>
      <c r="L26" s="603">
        <f>0.075+5.334+0.808+0.023</f>
        <v>6.239999999999999</v>
      </c>
      <c r="M26" s="603">
        <v>5.423</v>
      </c>
      <c r="N26" s="603">
        <v>5.894</v>
      </c>
      <c r="O26" s="603">
        <f>3.907+0.043+0.094+0.012</f>
        <v>4.056</v>
      </c>
      <c r="P26" s="603">
        <f>5.311+0.065+0.052</f>
        <v>5.428</v>
      </c>
      <c r="Q26" s="603">
        <v>5.884</v>
      </c>
      <c r="R26" s="603">
        <v>5.749</v>
      </c>
      <c r="S26" s="603">
        <v>6.451</v>
      </c>
      <c r="T26" s="603">
        <v>7.121</v>
      </c>
      <c r="U26" s="646">
        <v>7.333</v>
      </c>
      <c r="V26" s="455" t="s">
        <v>52</v>
      </c>
      <c r="X26" s="601">
        <f t="shared" si="3"/>
        <v>2.9771099564667907</v>
      </c>
    </row>
    <row r="27" spans="1:24" ht="12.75" customHeight="1">
      <c r="A27" s="8"/>
      <c r="B27" s="10" t="s">
        <v>60</v>
      </c>
      <c r="C27" s="145">
        <v>542.978</v>
      </c>
      <c r="D27" s="140">
        <v>611.487</v>
      </c>
      <c r="E27" s="592">
        <v>597.625</v>
      </c>
      <c r="F27" s="592">
        <v>530.231</v>
      </c>
      <c r="G27" s="592">
        <v>510.702</v>
      </c>
      <c r="H27" s="592">
        <v>488.841</v>
      </c>
      <c r="I27" s="592">
        <v>483.745</v>
      </c>
      <c r="J27" s="592">
        <v>465.152</v>
      </c>
      <c r="K27" s="592">
        <v>483.97</v>
      </c>
      <c r="L27" s="592">
        <v>505.538</v>
      </c>
      <c r="M27" s="592">
        <v>499.918</v>
      </c>
      <c r="N27" s="592">
        <v>387.152</v>
      </c>
      <c r="O27" s="592">
        <v>482.567</v>
      </c>
      <c r="P27" s="592">
        <v>555.798</v>
      </c>
      <c r="Q27" s="592">
        <v>502.675</v>
      </c>
      <c r="R27" s="592">
        <v>416.674</v>
      </c>
      <c r="S27" s="592">
        <v>387.572</v>
      </c>
      <c r="T27" s="592">
        <v>448.925</v>
      </c>
      <c r="U27" s="598">
        <v>382.825</v>
      </c>
      <c r="V27" s="73" t="s">
        <v>60</v>
      </c>
      <c r="X27" s="599">
        <f t="shared" si="3"/>
        <v>-14.724063039483212</v>
      </c>
    </row>
    <row r="28" spans="1:24" ht="12.75" customHeight="1">
      <c r="A28" s="8"/>
      <c r="B28" s="453" t="s">
        <v>69</v>
      </c>
      <c r="C28" s="454">
        <v>295.865</v>
      </c>
      <c r="D28" s="204">
        <v>314.182</v>
      </c>
      <c r="E28" s="603">
        <v>309.427</v>
      </c>
      <c r="F28" s="603">
        <v>293.528</v>
      </c>
      <c r="G28" s="603">
        <v>279.493</v>
      </c>
      <c r="H28" s="603">
        <v>300.121</v>
      </c>
      <c r="I28" s="603">
        <v>311.292</v>
      </c>
      <c r="J28" s="603">
        <v>307.915</v>
      </c>
      <c r="K28" s="603">
        <v>308.594</v>
      </c>
      <c r="L28" s="603">
        <v>298.182</v>
      </c>
      <c r="M28" s="603">
        <v>293.697</v>
      </c>
      <c r="N28" s="603">
        <v>319.403</v>
      </c>
      <c r="O28" s="603">
        <v>328.563</v>
      </c>
      <c r="P28" s="603">
        <v>356.145</v>
      </c>
      <c r="Q28" s="603">
        <v>336.01</v>
      </c>
      <c r="R28" s="603">
        <v>319.035</v>
      </c>
      <c r="S28" s="603">
        <v>303.318</v>
      </c>
      <c r="T28" s="603">
        <v>308.555</v>
      </c>
      <c r="U28" s="646">
        <v>329.604</v>
      </c>
      <c r="V28" s="455" t="s">
        <v>69</v>
      </c>
      <c r="X28" s="601">
        <f t="shared" si="3"/>
        <v>6.821798382784266</v>
      </c>
    </row>
    <row r="29" spans="1:24" ht="12.75" customHeight="1">
      <c r="A29" s="8"/>
      <c r="B29" s="228" t="s">
        <v>53</v>
      </c>
      <c r="C29" s="145"/>
      <c r="D29" s="140"/>
      <c r="E29" s="647"/>
      <c r="F29" s="592"/>
      <c r="G29" s="592"/>
      <c r="H29" s="592">
        <v>358.432</v>
      </c>
      <c r="I29" s="592">
        <v>318.111</v>
      </c>
      <c r="J29" s="592">
        <v>235.522</v>
      </c>
      <c r="K29" s="592">
        <v>238.993</v>
      </c>
      <c r="L29" s="592">
        <v>293.305</v>
      </c>
      <c r="M29" s="592">
        <v>320.04</v>
      </c>
      <c r="N29" s="592">
        <v>320.206</v>
      </c>
      <c r="O29" s="592">
        <v>333.49</v>
      </c>
      <c r="P29" s="592">
        <v>297.937</v>
      </c>
      <c r="Q29" s="592">
        <v>271.215</v>
      </c>
      <c r="R29" s="592">
        <v>288.998</v>
      </c>
      <c r="S29" s="592">
        <v>325.371</v>
      </c>
      <c r="T29" s="592">
        <v>352.378</v>
      </c>
      <c r="U29" s="598">
        <v>417.854</v>
      </c>
      <c r="V29" s="229" t="s">
        <v>53</v>
      </c>
      <c r="X29" s="599">
        <f t="shared" si="3"/>
        <v>18.58118270720645</v>
      </c>
    </row>
    <row r="30" spans="1:24" ht="12.75" customHeight="1">
      <c r="A30" s="8"/>
      <c r="B30" s="453" t="s">
        <v>70</v>
      </c>
      <c r="C30" s="454">
        <v>248.398</v>
      </c>
      <c r="D30" s="204">
        <v>272.883</v>
      </c>
      <c r="E30" s="603">
        <v>257.836</v>
      </c>
      <c r="F30" s="603">
        <v>255.21</v>
      </c>
      <c r="G30" s="603">
        <v>226.092</v>
      </c>
      <c r="H30" s="603">
        <v>189.792</v>
      </c>
      <c r="I30" s="603">
        <v>197.645</v>
      </c>
      <c r="J30" s="603">
        <v>206.488</v>
      </c>
      <c r="K30" s="603">
        <v>194.702</v>
      </c>
      <c r="L30" s="603">
        <v>201.816</v>
      </c>
      <c r="M30" s="603">
        <v>213.389</v>
      </c>
      <c r="N30" s="603">
        <v>161.013</v>
      </c>
      <c r="O30" s="603">
        <v>223.464</v>
      </c>
      <c r="P30" s="603">
        <v>153.404</v>
      </c>
      <c r="Q30" s="603">
        <v>95.29</v>
      </c>
      <c r="R30" s="603">
        <v>105.921</v>
      </c>
      <c r="S30" s="603">
        <v>142.826</v>
      </c>
      <c r="T30" s="603">
        <v>178.503</v>
      </c>
      <c r="U30" s="646">
        <v>207.345</v>
      </c>
      <c r="V30" s="455" t="s">
        <v>70</v>
      </c>
      <c r="X30" s="601">
        <f t="shared" si="3"/>
        <v>16.15771163509858</v>
      </c>
    </row>
    <row r="31" spans="1:24" ht="12.75" customHeight="1">
      <c r="A31" s="8"/>
      <c r="B31" s="497" t="s">
        <v>255</v>
      </c>
      <c r="C31" s="145"/>
      <c r="D31" s="140"/>
      <c r="E31" s="592"/>
      <c r="F31" s="592"/>
      <c r="G31" s="592">
        <v>88.8</v>
      </c>
      <c r="H31" s="592">
        <v>106.76</v>
      </c>
      <c r="I31" s="592">
        <v>145.12</v>
      </c>
      <c r="J31" s="592">
        <v>172.5</v>
      </c>
      <c r="K31" s="592">
        <v>256.364</v>
      </c>
      <c r="L31" s="592">
        <v>315.621</v>
      </c>
      <c r="M31" s="592">
        <v>270.995</v>
      </c>
      <c r="N31" s="592">
        <v>130.195</v>
      </c>
      <c r="O31" s="592">
        <v>106.328</v>
      </c>
      <c r="P31" s="592">
        <v>94.619</v>
      </c>
      <c r="Q31" s="592">
        <v>72.148</v>
      </c>
      <c r="R31" s="592">
        <v>57.71</v>
      </c>
      <c r="S31" s="592">
        <v>70.172</v>
      </c>
      <c r="T31" s="592">
        <v>81.162</v>
      </c>
      <c r="U31" s="598">
        <v>94.919</v>
      </c>
      <c r="V31" s="73" t="s">
        <v>255</v>
      </c>
      <c r="X31" s="599">
        <f t="shared" si="3"/>
        <v>16.950050516251423</v>
      </c>
    </row>
    <row r="32" spans="1:24" ht="12.75" customHeight="1">
      <c r="A32" s="8"/>
      <c r="B32" s="453" t="s">
        <v>56</v>
      </c>
      <c r="C32" s="454"/>
      <c r="D32" s="204"/>
      <c r="E32" s="603"/>
      <c r="F32" s="603"/>
      <c r="G32" s="603"/>
      <c r="H32" s="603">
        <v>59.548</v>
      </c>
      <c r="I32" s="603">
        <v>62.002</v>
      </c>
      <c r="J32" s="603">
        <v>59.324</v>
      </c>
      <c r="K32" s="603">
        <v>59.578</v>
      </c>
      <c r="L32" s="603">
        <v>68.719</v>
      </c>
      <c r="M32" s="603">
        <v>71.575</v>
      </c>
      <c r="N32" s="603">
        <v>57.967</v>
      </c>
      <c r="O32" s="603">
        <v>61.142</v>
      </c>
      <c r="P32" s="603">
        <v>60.193</v>
      </c>
      <c r="Q32" s="603">
        <v>50.091</v>
      </c>
      <c r="R32" s="603">
        <v>51.585</v>
      </c>
      <c r="S32" s="603">
        <v>53.959</v>
      </c>
      <c r="T32" s="603">
        <v>59.664</v>
      </c>
      <c r="U32" s="646">
        <v>58.963</v>
      </c>
      <c r="V32" s="455" t="s">
        <v>56</v>
      </c>
      <c r="X32" s="601">
        <f t="shared" si="3"/>
        <v>-1.1749128452668316</v>
      </c>
    </row>
    <row r="33" spans="1:24" ht="12.75" customHeight="1">
      <c r="A33" s="8"/>
      <c r="B33" s="228" t="s">
        <v>55</v>
      </c>
      <c r="C33" s="145"/>
      <c r="D33" s="140"/>
      <c r="E33" s="592"/>
      <c r="F33" s="592"/>
      <c r="G33" s="592"/>
      <c r="H33" s="592">
        <v>59.742</v>
      </c>
      <c r="I33" s="592">
        <v>57.43</v>
      </c>
      <c r="J33" s="592">
        <v>57.125</v>
      </c>
      <c r="K33" s="592">
        <v>59.084</v>
      </c>
      <c r="L33" s="592">
        <v>59.7</v>
      </c>
      <c r="M33" s="592">
        <v>70.04</v>
      </c>
      <c r="N33" s="592">
        <v>74.717</v>
      </c>
      <c r="O33" s="592">
        <v>64.033</v>
      </c>
      <c r="P33" s="592">
        <v>68.254</v>
      </c>
      <c r="Q33" s="592">
        <v>69.195</v>
      </c>
      <c r="R33" s="592">
        <v>66</v>
      </c>
      <c r="S33" s="592">
        <v>72.252</v>
      </c>
      <c r="T33" s="592">
        <v>77.979</v>
      </c>
      <c r="U33" s="598">
        <v>88.165</v>
      </c>
      <c r="V33" s="229" t="s">
        <v>55</v>
      </c>
      <c r="X33" s="599">
        <f t="shared" si="3"/>
        <v>13.06249118352379</v>
      </c>
    </row>
    <row r="34" spans="1:24" ht="12.75" customHeight="1">
      <c r="A34" s="8"/>
      <c r="B34" s="453" t="s">
        <v>71</v>
      </c>
      <c r="C34" s="454">
        <v>125.751</v>
      </c>
      <c r="D34" s="204">
        <v>136.324</v>
      </c>
      <c r="E34" s="603">
        <v>134.646</v>
      </c>
      <c r="F34" s="603">
        <v>109.487</v>
      </c>
      <c r="G34" s="603">
        <v>116.877</v>
      </c>
      <c r="H34" s="603">
        <v>147.222</v>
      </c>
      <c r="I34" s="603">
        <v>142.439</v>
      </c>
      <c r="J34" s="603">
        <v>147.949</v>
      </c>
      <c r="K34" s="603">
        <v>145.689</v>
      </c>
      <c r="L34" s="603">
        <v>125.285</v>
      </c>
      <c r="M34" s="603">
        <v>139.611</v>
      </c>
      <c r="N34" s="603">
        <v>88.344</v>
      </c>
      <c r="O34" s="603">
        <v>107.346</v>
      </c>
      <c r="P34" s="603">
        <v>121.171</v>
      </c>
      <c r="Q34" s="603">
        <v>107.166</v>
      </c>
      <c r="R34" s="603">
        <v>103.314</v>
      </c>
      <c r="S34" s="603">
        <v>106.259</v>
      </c>
      <c r="T34" s="603">
        <v>108.844</v>
      </c>
      <c r="U34" s="646">
        <v>118.912</v>
      </c>
      <c r="V34" s="455" t="s">
        <v>71</v>
      </c>
      <c r="X34" s="601">
        <f t="shared" si="3"/>
        <v>9.249935687773345</v>
      </c>
    </row>
    <row r="35" spans="1:24" ht="12.75" customHeight="1">
      <c r="A35" s="8"/>
      <c r="B35" s="228" t="s">
        <v>72</v>
      </c>
      <c r="C35" s="145">
        <v>253.43</v>
      </c>
      <c r="D35" s="140">
        <v>295.249</v>
      </c>
      <c r="E35" s="592">
        <v>290.529</v>
      </c>
      <c r="F35" s="592">
        <v>246.581</v>
      </c>
      <c r="G35" s="592">
        <v>254.589</v>
      </c>
      <c r="H35" s="592">
        <v>261.206</v>
      </c>
      <c r="I35" s="592">
        <v>264.246</v>
      </c>
      <c r="J35" s="592">
        <v>274.301</v>
      </c>
      <c r="K35" s="592">
        <v>282.766</v>
      </c>
      <c r="L35" s="592">
        <v>306.799</v>
      </c>
      <c r="M35" s="592">
        <v>253.982</v>
      </c>
      <c r="N35" s="592">
        <v>213.408</v>
      </c>
      <c r="O35" s="592">
        <v>289.684</v>
      </c>
      <c r="P35" s="592">
        <v>304.984</v>
      </c>
      <c r="Q35" s="592">
        <v>279.478</v>
      </c>
      <c r="R35" s="592">
        <v>269.558</v>
      </c>
      <c r="S35" s="592">
        <v>303.948</v>
      </c>
      <c r="T35" s="592">
        <v>345.108</v>
      </c>
      <c r="U35" s="598">
        <v>372.318</v>
      </c>
      <c r="V35" s="229" t="s">
        <v>72</v>
      </c>
      <c r="X35" s="599">
        <f t="shared" si="3"/>
        <v>7.884488334086726</v>
      </c>
    </row>
    <row r="36" spans="1:24" ht="12.75" customHeight="1">
      <c r="A36" s="8"/>
      <c r="B36" s="456" t="s">
        <v>61</v>
      </c>
      <c r="C36" s="457">
        <v>2247.403</v>
      </c>
      <c r="D36" s="397">
        <v>2197.615</v>
      </c>
      <c r="E36" s="611">
        <v>2221.67</v>
      </c>
      <c r="F36" s="611">
        <v>2458.769</v>
      </c>
      <c r="G36" s="611">
        <v>2563.631</v>
      </c>
      <c r="H36" s="611">
        <v>2579.05</v>
      </c>
      <c r="I36" s="611">
        <v>2567.269</v>
      </c>
      <c r="J36" s="611">
        <v>2439.717</v>
      </c>
      <c r="K36" s="611">
        <v>2344.864</v>
      </c>
      <c r="L36" s="611">
        <v>2404.007</v>
      </c>
      <c r="M36" s="611">
        <v>2131.795</v>
      </c>
      <c r="N36" s="611">
        <v>1994.999</v>
      </c>
      <c r="O36" s="611">
        <v>2030.846</v>
      </c>
      <c r="P36" s="611">
        <v>1941.253</v>
      </c>
      <c r="Q36" s="611">
        <v>2044.609</v>
      </c>
      <c r="R36" s="611">
        <v>2264.737</v>
      </c>
      <c r="S36" s="611">
        <v>2476.435</v>
      </c>
      <c r="T36" s="611">
        <v>2633.503</v>
      </c>
      <c r="U36" s="648">
        <v>2692.786</v>
      </c>
      <c r="V36" s="458" t="s">
        <v>61</v>
      </c>
      <c r="X36" s="613">
        <f t="shared" si="3"/>
        <v>2.2511081248056257</v>
      </c>
    </row>
    <row r="37" spans="1:24" s="493" customFormat="1" ht="12.75" customHeight="1">
      <c r="A37" s="8"/>
      <c r="B37" s="497" t="s">
        <v>221</v>
      </c>
      <c r="C37" s="145"/>
      <c r="D37" s="140"/>
      <c r="E37" s="592"/>
      <c r="F37" s="592"/>
      <c r="G37" s="592"/>
      <c r="H37" s="592"/>
      <c r="I37" s="592"/>
      <c r="J37" s="592"/>
      <c r="K37" s="592"/>
      <c r="L37" s="592"/>
      <c r="M37" s="592"/>
      <c r="N37" s="592"/>
      <c r="O37" s="592"/>
      <c r="P37" s="592"/>
      <c r="Q37" s="592"/>
      <c r="R37" s="592"/>
      <c r="S37" s="592"/>
      <c r="T37" s="592"/>
      <c r="U37" s="598"/>
      <c r="V37" s="73" t="s">
        <v>221</v>
      </c>
      <c r="X37" s="599"/>
    </row>
    <row r="38" spans="1:24" ht="12.75" customHeight="1">
      <c r="A38" s="8"/>
      <c r="B38" s="184" t="s">
        <v>213</v>
      </c>
      <c r="C38" s="454">
        <v>85.893</v>
      </c>
      <c r="D38" s="204">
        <v>89.665</v>
      </c>
      <c r="E38" s="603"/>
      <c r="F38" s="603"/>
      <c r="G38" s="603"/>
      <c r="H38" s="603"/>
      <c r="I38" s="603"/>
      <c r="J38" s="603"/>
      <c r="K38" s="603"/>
      <c r="L38" s="603"/>
      <c r="M38" s="603"/>
      <c r="N38" s="603"/>
      <c r="O38" s="603">
        <v>8.608</v>
      </c>
      <c r="P38" s="603">
        <v>10.26</v>
      </c>
      <c r="Q38" s="603">
        <v>11.173</v>
      </c>
      <c r="R38" s="603">
        <v>12.417</v>
      </c>
      <c r="S38" s="926">
        <f>2.555+3.717+3.369+3.407</f>
        <v>13.048</v>
      </c>
      <c r="T38" s="603">
        <v>13.718</v>
      </c>
      <c r="U38" s="646">
        <f>3.106+4.574+3.991+4.256</f>
        <v>15.927</v>
      </c>
      <c r="V38" s="449" t="s">
        <v>213</v>
      </c>
      <c r="X38" s="601">
        <f t="shared" si="3"/>
        <v>16.102930456334732</v>
      </c>
    </row>
    <row r="39" spans="1:24" ht="12.75" customHeight="1">
      <c r="A39" s="8"/>
      <c r="B39" s="228" t="s">
        <v>1</v>
      </c>
      <c r="C39" s="145"/>
      <c r="D39" s="140"/>
      <c r="E39" s="592"/>
      <c r="F39" s="592"/>
      <c r="G39" s="592"/>
      <c r="H39" s="592"/>
      <c r="I39" s="592"/>
      <c r="J39" s="592">
        <v>15.894</v>
      </c>
      <c r="K39" s="592">
        <v>12.45</v>
      </c>
      <c r="L39" s="592">
        <v>16.914</v>
      </c>
      <c r="M39" s="592">
        <v>17.914</v>
      </c>
      <c r="N39" s="592">
        <v>13.113</v>
      </c>
      <c r="O39" s="592">
        <v>49.291</v>
      </c>
      <c r="P39" s="592">
        <v>40.09</v>
      </c>
      <c r="Q39" s="592">
        <v>32.87</v>
      </c>
      <c r="R39" s="592">
        <v>31.927</v>
      </c>
      <c r="S39" s="592">
        <v>29.766</v>
      </c>
      <c r="T39" s="592">
        <v>29.308</v>
      </c>
      <c r="U39" s="649">
        <f>AVERAGE(R39:T39)</f>
        <v>30.33366666666667</v>
      </c>
      <c r="V39" s="229" t="s">
        <v>1</v>
      </c>
      <c r="X39" s="925">
        <f t="shared" si="3"/>
        <v>3.4996133023975347</v>
      </c>
    </row>
    <row r="40" spans="1:24" ht="12.75" customHeight="1">
      <c r="A40" s="8"/>
      <c r="B40" s="184" t="s">
        <v>212</v>
      </c>
      <c r="C40" s="454"/>
      <c r="D40" s="204"/>
      <c r="E40" s="603"/>
      <c r="F40" s="603"/>
      <c r="G40" s="603"/>
      <c r="H40" s="603"/>
      <c r="I40" s="603"/>
      <c r="J40" s="603"/>
      <c r="K40" s="603"/>
      <c r="L40" s="603"/>
      <c r="M40" s="603"/>
      <c r="N40" s="603"/>
      <c r="O40" s="603"/>
      <c r="P40" s="603"/>
      <c r="Q40" s="603">
        <f>129.168</f>
        <v>129.168</v>
      </c>
      <c r="R40" s="603">
        <f>30.784+38.47+36.359+33.9</f>
        <v>139.513</v>
      </c>
      <c r="S40" s="603">
        <f>27.363+26.591+25.995+25.444</f>
        <v>105.393</v>
      </c>
      <c r="T40" s="603">
        <f>30.495+29.433+23.626+29.061</f>
        <v>112.61500000000001</v>
      </c>
      <c r="U40" s="646">
        <v>136.258</v>
      </c>
      <c r="V40" s="449" t="s">
        <v>212</v>
      </c>
      <c r="X40" s="601">
        <f t="shared" si="3"/>
        <v>20.99453891577498</v>
      </c>
    </row>
    <row r="41" spans="1:24" ht="12.75" customHeight="1">
      <c r="A41" s="8"/>
      <c r="B41" s="230" t="s">
        <v>57</v>
      </c>
      <c r="C41" s="636"/>
      <c r="D41" s="637"/>
      <c r="E41" s="650"/>
      <c r="F41" s="650"/>
      <c r="G41" s="616"/>
      <c r="H41" s="616"/>
      <c r="I41" s="616"/>
      <c r="J41" s="616">
        <v>406.807</v>
      </c>
      <c r="K41" s="616">
        <v>396.542</v>
      </c>
      <c r="L41" s="616">
        <v>353.495</v>
      </c>
      <c r="M41" s="616">
        <v>353.168</v>
      </c>
      <c r="N41" s="616">
        <v>357.986</v>
      </c>
      <c r="O41" s="616">
        <v>485.619</v>
      </c>
      <c r="P41" s="616">
        <v>602.248</v>
      </c>
      <c r="Q41" s="616">
        <v>565.791</v>
      </c>
      <c r="R41" s="616">
        <v>654.905</v>
      </c>
      <c r="S41" s="616">
        <v>585.814</v>
      </c>
      <c r="T41" s="616">
        <v>746.395</v>
      </c>
      <c r="U41" s="651">
        <v>746.074</v>
      </c>
      <c r="V41" s="232" t="s">
        <v>57</v>
      </c>
      <c r="X41" s="979">
        <f t="shared" si="3"/>
        <v>-0.043006718962473656</v>
      </c>
    </row>
    <row r="42" spans="1:24" ht="12.75" customHeight="1">
      <c r="A42" s="8"/>
      <c r="B42" s="453" t="s">
        <v>43</v>
      </c>
      <c r="C42" s="454">
        <v>13.569</v>
      </c>
      <c r="D42" s="204">
        <v>15.377</v>
      </c>
      <c r="E42" s="603">
        <v>13.569</v>
      </c>
      <c r="F42" s="603">
        <v>7.245</v>
      </c>
      <c r="G42" s="603">
        <v>6.943</v>
      </c>
      <c r="H42" s="603">
        <v>9.885</v>
      </c>
      <c r="I42" s="603">
        <v>11.968</v>
      </c>
      <c r="J42" s="603">
        <v>18.06</v>
      </c>
      <c r="K42" s="603">
        <v>17.129</v>
      </c>
      <c r="L42" s="603">
        <v>15.942</v>
      </c>
      <c r="M42" s="603">
        <v>9.033</v>
      </c>
      <c r="N42" s="603">
        <v>2.113</v>
      </c>
      <c r="O42" s="603">
        <v>3.106</v>
      </c>
      <c r="P42" s="603">
        <v>5.038</v>
      </c>
      <c r="Q42" s="603">
        <v>7.93</v>
      </c>
      <c r="R42" s="603">
        <v>7.274</v>
      </c>
      <c r="S42" s="603">
        <v>9.52</v>
      </c>
      <c r="T42" s="603">
        <v>14.008</v>
      </c>
      <c r="U42" s="646">
        <v>18.473</v>
      </c>
      <c r="V42" s="455" t="s">
        <v>43</v>
      </c>
      <c r="W42" s="465"/>
      <c r="X42" s="601">
        <f t="shared" si="3"/>
        <v>31.874643061107946</v>
      </c>
    </row>
    <row r="43" spans="1:24" ht="12.75" customHeight="1">
      <c r="A43" s="8"/>
      <c r="B43" s="228" t="s">
        <v>73</v>
      </c>
      <c r="C43" s="145">
        <v>117.977</v>
      </c>
      <c r="D43" s="140">
        <v>101.278</v>
      </c>
      <c r="E43" s="592">
        <v>97.376</v>
      </c>
      <c r="F43" s="592">
        <v>91.916</v>
      </c>
      <c r="G43" s="592">
        <v>88.721</v>
      </c>
      <c r="H43" s="592">
        <v>89.921</v>
      </c>
      <c r="I43" s="592">
        <v>115.645</v>
      </c>
      <c r="J43" s="592">
        <v>109.907</v>
      </c>
      <c r="K43" s="592">
        <v>109.164</v>
      </c>
      <c r="L43" s="592">
        <v>129.195</v>
      </c>
      <c r="M43" s="592">
        <v>110.617</v>
      </c>
      <c r="N43" s="592">
        <v>98.675</v>
      </c>
      <c r="O43" s="592">
        <v>127.754</v>
      </c>
      <c r="P43" s="592">
        <v>138.345</v>
      </c>
      <c r="Q43" s="592">
        <v>137.967</v>
      </c>
      <c r="R43" s="592">
        <v>142.151</v>
      </c>
      <c r="S43" s="592">
        <v>144.202</v>
      </c>
      <c r="T43" s="592">
        <v>150.686</v>
      </c>
      <c r="U43" s="598">
        <v>154.603</v>
      </c>
      <c r="V43" s="229" t="s">
        <v>73</v>
      </c>
      <c r="W43" s="465"/>
      <c r="X43" s="599">
        <f t="shared" si="3"/>
        <v>2.5994452039340104</v>
      </c>
    </row>
    <row r="44" spans="1:24" ht="12.75" customHeight="1">
      <c r="A44" s="8"/>
      <c r="B44" s="456" t="s">
        <v>44</v>
      </c>
      <c r="C44" s="457">
        <v>296.945</v>
      </c>
      <c r="D44" s="397">
        <v>316.876</v>
      </c>
      <c r="E44" s="611">
        <v>316.519</v>
      </c>
      <c r="F44" s="611">
        <v>316.641</v>
      </c>
      <c r="G44" s="611">
        <v>295.065</v>
      </c>
      <c r="H44" s="611">
        <v>270.309</v>
      </c>
      <c r="I44" s="611">
        <v>269.385</v>
      </c>
      <c r="J44" s="611">
        <v>264.941</v>
      </c>
      <c r="K44" s="611">
        <v>269.452</v>
      </c>
      <c r="L44" s="611">
        <v>284.688</v>
      </c>
      <c r="M44" s="611">
        <v>288.557</v>
      </c>
      <c r="N44" s="611">
        <v>266.049</v>
      </c>
      <c r="O44" s="611">
        <v>292.453</v>
      </c>
      <c r="P44" s="611">
        <v>316.846</v>
      </c>
      <c r="Q44" s="611">
        <v>326.081</v>
      </c>
      <c r="R44" s="611">
        <v>305.928</v>
      </c>
      <c r="S44" s="611">
        <v>300.11</v>
      </c>
      <c r="T44" s="611">
        <v>321.669</v>
      </c>
      <c r="U44" s="648">
        <v>315.479</v>
      </c>
      <c r="V44" s="458" t="s">
        <v>44</v>
      </c>
      <c r="W44" s="465"/>
      <c r="X44" s="613">
        <f t="shared" si="3"/>
        <v>-1.9243383726750096</v>
      </c>
    </row>
    <row r="45" spans="2:22" ht="24.75" customHeight="1">
      <c r="B45" s="1050" t="s">
        <v>217</v>
      </c>
      <c r="C45" s="1051"/>
      <c r="D45" s="1051"/>
      <c r="E45" s="1051"/>
      <c r="F45" s="1051"/>
      <c r="G45" s="1051"/>
      <c r="H45" s="1051"/>
      <c r="I45" s="1051"/>
      <c r="J45" s="1051"/>
      <c r="K45" s="1051"/>
      <c r="L45" s="1051"/>
      <c r="M45" s="1051"/>
      <c r="N45" s="1051"/>
      <c r="O45" s="1051"/>
      <c r="P45" s="1051"/>
      <c r="Q45" s="1051"/>
      <c r="R45" s="1051"/>
      <c r="S45" s="633"/>
      <c r="T45" s="899"/>
      <c r="U45" s="974"/>
      <c r="V45" s="38"/>
    </row>
    <row r="46" ht="12.75">
      <c r="B46" s="494" t="s">
        <v>260</v>
      </c>
    </row>
    <row r="47" ht="12.75" customHeight="1">
      <c r="E47" s="523"/>
    </row>
    <row r="48" ht="12.75" customHeight="1" hidden="1"/>
  </sheetData>
  <sheetProtection/>
  <mergeCells count="3">
    <mergeCell ref="B2:R2"/>
    <mergeCell ref="B3:R3"/>
    <mergeCell ref="B45:R45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0"/>
  <dimension ref="A1:AS46"/>
  <sheetViews>
    <sheetView zoomScalePageLayoutView="0" workbookViewId="0" topLeftCell="A4">
      <selection activeCell="M47" sqref="M47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12" width="8.7109375" style="0" customWidth="1"/>
    <col min="13" max="13" width="8.7109375" style="493" customWidth="1"/>
    <col min="14" max="14" width="8.7109375" style="902" customWidth="1"/>
    <col min="15" max="15" width="9.421875" style="0" customWidth="1"/>
    <col min="16" max="25" width="8.7109375" style="0" customWidth="1"/>
    <col min="26" max="26" width="8.7109375" style="493" customWidth="1"/>
    <col min="27" max="27" width="8.7109375" style="902" customWidth="1"/>
    <col min="28" max="28" width="6.7109375" style="0" customWidth="1"/>
    <col min="29" max="38" width="8.7109375" style="0" customWidth="1"/>
    <col min="39" max="39" width="8.7109375" style="493" customWidth="1"/>
    <col min="40" max="40" width="8.7109375" style="902" customWidth="1"/>
    <col min="41" max="41" width="6.7109375" style="0" customWidth="1"/>
    <col min="42" max="42" width="7.57421875" style="0" customWidth="1"/>
    <col min="43" max="43" width="9.140625" style="0" customWidth="1"/>
  </cols>
  <sheetData>
    <row r="1" spans="2:42" ht="14.25" customHeight="1">
      <c r="B1" s="30"/>
      <c r="C1" s="25"/>
      <c r="D1" s="25"/>
      <c r="E1" s="25"/>
      <c r="F1" s="25"/>
      <c r="G1" s="25"/>
      <c r="H1" s="25"/>
      <c r="I1" s="25"/>
      <c r="J1" s="25"/>
      <c r="K1" s="25"/>
      <c r="L1" s="25"/>
      <c r="M1" s="499"/>
      <c r="N1" s="499"/>
      <c r="O1" s="25"/>
      <c r="P1" s="25"/>
      <c r="AP1" s="31" t="s">
        <v>152</v>
      </c>
    </row>
    <row r="2" spans="2:42" s="44" customFormat="1" ht="30" customHeight="1">
      <c r="B2" s="1048" t="s">
        <v>194</v>
      </c>
      <c r="C2" s="1048"/>
      <c r="D2" s="1048"/>
      <c r="E2" s="1048"/>
      <c r="F2" s="1048"/>
      <c r="G2" s="1048"/>
      <c r="H2" s="1048"/>
      <c r="I2" s="1048"/>
      <c r="J2" s="1048"/>
      <c r="K2" s="1048"/>
      <c r="L2" s="1048"/>
      <c r="M2" s="1048"/>
      <c r="N2" s="1048"/>
      <c r="O2" s="1048"/>
      <c r="P2" s="1048"/>
      <c r="Q2" s="1048"/>
      <c r="R2" s="1048"/>
      <c r="S2" s="1048"/>
      <c r="T2" s="1048"/>
      <c r="U2" s="1048"/>
      <c r="V2" s="1048"/>
      <c r="W2" s="1048"/>
      <c r="X2" s="1048"/>
      <c r="Y2" s="1048"/>
      <c r="Z2" s="1048"/>
      <c r="AA2" s="1048"/>
      <c r="AB2" s="1048"/>
      <c r="AC2" s="1048"/>
      <c r="AD2" s="1048"/>
      <c r="AE2" s="1048"/>
      <c r="AF2" s="1048"/>
      <c r="AG2" s="1048"/>
      <c r="AH2" s="1048"/>
      <c r="AI2" s="1048"/>
      <c r="AJ2" s="1048"/>
      <c r="AK2" s="1048"/>
      <c r="AL2" s="1048"/>
      <c r="AM2" s="1048"/>
      <c r="AN2" s="1048"/>
      <c r="AO2" s="1048"/>
      <c r="AP2" s="1048"/>
    </row>
    <row r="3" spans="2:42" ht="18" customHeight="1">
      <c r="B3" s="1052" t="s">
        <v>91</v>
      </c>
      <c r="C3" s="1052"/>
      <c r="D3" s="1052"/>
      <c r="E3" s="1052"/>
      <c r="F3" s="1052"/>
      <c r="G3" s="1052"/>
      <c r="H3" s="1052"/>
      <c r="I3" s="1052"/>
      <c r="J3" s="1052"/>
      <c r="K3" s="1052"/>
      <c r="L3" s="1052"/>
      <c r="M3" s="1052"/>
      <c r="N3" s="1052"/>
      <c r="O3" s="1052"/>
      <c r="P3" s="1052"/>
      <c r="Q3" s="1052"/>
      <c r="R3" s="1052"/>
      <c r="S3" s="1052"/>
      <c r="T3" s="1052"/>
      <c r="U3" s="1052"/>
      <c r="V3" s="1052"/>
      <c r="W3" s="1052"/>
      <c r="X3" s="1052"/>
      <c r="Y3" s="1052"/>
      <c r="Z3" s="1052"/>
      <c r="AA3" s="1052"/>
      <c r="AB3" s="1052"/>
      <c r="AC3" s="1052"/>
      <c r="AD3" s="1052"/>
      <c r="AE3" s="1052"/>
      <c r="AF3" s="1052"/>
      <c r="AG3" s="1052"/>
      <c r="AH3" s="1052"/>
      <c r="AI3" s="1052"/>
      <c r="AJ3" s="1052"/>
      <c r="AK3" s="1052"/>
      <c r="AL3" s="1052"/>
      <c r="AM3" s="1052"/>
      <c r="AN3" s="1052"/>
      <c r="AO3" s="1052"/>
      <c r="AP3" s="1052"/>
    </row>
    <row r="4" spans="2:45" ht="23.25" customHeight="1">
      <c r="B4" s="110"/>
      <c r="C4" s="1053" t="s">
        <v>4</v>
      </c>
      <c r="D4" s="1054"/>
      <c r="E4" s="1054"/>
      <c r="F4" s="1054"/>
      <c r="G4" s="1054"/>
      <c r="H4" s="1054"/>
      <c r="I4" s="1054"/>
      <c r="J4" s="1054"/>
      <c r="K4" s="1054"/>
      <c r="L4" s="1054"/>
      <c r="M4" s="1054"/>
      <c r="N4" s="1054"/>
      <c r="O4" s="1055"/>
      <c r="P4" s="233" t="s">
        <v>2</v>
      </c>
      <c r="Q4" s="1053" t="s">
        <v>5</v>
      </c>
      <c r="R4" s="1054"/>
      <c r="S4" s="1054"/>
      <c r="T4" s="1054"/>
      <c r="U4" s="1054"/>
      <c r="V4" s="1054"/>
      <c r="W4" s="1054"/>
      <c r="X4" s="1054"/>
      <c r="Y4" s="1054"/>
      <c r="Z4" s="1054"/>
      <c r="AA4" s="1054"/>
      <c r="AB4" s="1054"/>
      <c r="AC4" s="1055"/>
      <c r="AD4" s="233" t="s">
        <v>2</v>
      </c>
      <c r="AE4" s="1053" t="s">
        <v>6</v>
      </c>
      <c r="AF4" s="1054"/>
      <c r="AG4" s="1054"/>
      <c r="AH4" s="1054"/>
      <c r="AI4" s="1054"/>
      <c r="AJ4" s="1054"/>
      <c r="AK4" s="1054"/>
      <c r="AL4" s="1054"/>
      <c r="AM4" s="1054"/>
      <c r="AN4" s="1054"/>
      <c r="AO4" s="1054"/>
      <c r="AP4" s="1054"/>
      <c r="AQ4" s="1055"/>
      <c r="AR4" s="233" t="s">
        <v>2</v>
      </c>
      <c r="AS4" s="63"/>
    </row>
    <row r="5" spans="2:45" ht="12" customHeight="1">
      <c r="B5" s="110"/>
      <c r="C5" s="1056" t="s">
        <v>7</v>
      </c>
      <c r="D5" s="1057"/>
      <c r="E5" s="1057"/>
      <c r="F5" s="1057"/>
      <c r="G5" s="1057"/>
      <c r="H5" s="1057"/>
      <c r="I5" s="1057"/>
      <c r="J5" s="1057"/>
      <c r="K5" s="1057"/>
      <c r="L5" s="1057"/>
      <c r="M5" s="1057"/>
      <c r="N5" s="1057"/>
      <c r="O5" s="1058"/>
      <c r="P5" s="234" t="s">
        <v>104</v>
      </c>
      <c r="Q5" s="1056" t="s">
        <v>8</v>
      </c>
      <c r="R5" s="1057"/>
      <c r="S5" s="1057"/>
      <c r="T5" s="1057"/>
      <c r="U5" s="1057"/>
      <c r="V5" s="1057"/>
      <c r="W5" s="1057"/>
      <c r="X5" s="1057"/>
      <c r="Y5" s="1057"/>
      <c r="Z5" s="1057"/>
      <c r="AA5" s="1057"/>
      <c r="AB5" s="1057"/>
      <c r="AC5" s="1058"/>
      <c r="AD5" s="234" t="s">
        <v>104</v>
      </c>
      <c r="AE5" s="1056" t="s">
        <v>9</v>
      </c>
      <c r="AF5" s="1057"/>
      <c r="AG5" s="1057"/>
      <c r="AH5" s="1057"/>
      <c r="AI5" s="1057"/>
      <c r="AJ5" s="1057"/>
      <c r="AK5" s="1057"/>
      <c r="AL5" s="1057"/>
      <c r="AM5" s="1057"/>
      <c r="AN5" s="1057"/>
      <c r="AO5" s="1057"/>
      <c r="AP5" s="1057"/>
      <c r="AQ5" s="1058"/>
      <c r="AR5" s="234" t="s">
        <v>104</v>
      </c>
      <c r="AS5" s="63"/>
    </row>
    <row r="6" spans="2:45" ht="21" customHeight="1">
      <c r="B6" s="111"/>
      <c r="C6" s="235">
        <v>2004</v>
      </c>
      <c r="D6" s="236">
        <v>2005</v>
      </c>
      <c r="E6" s="236">
        <v>2006</v>
      </c>
      <c r="F6" s="236">
        <v>2007</v>
      </c>
      <c r="G6" s="236">
        <v>2008</v>
      </c>
      <c r="H6" s="236">
        <v>2009</v>
      </c>
      <c r="I6" s="236">
        <v>2010</v>
      </c>
      <c r="J6" s="236">
        <v>2011</v>
      </c>
      <c r="K6" s="236">
        <v>2012</v>
      </c>
      <c r="L6" s="236">
        <v>2013</v>
      </c>
      <c r="M6" s="236">
        <v>2014</v>
      </c>
      <c r="N6" s="236">
        <v>2015</v>
      </c>
      <c r="O6" s="237">
        <v>2016</v>
      </c>
      <c r="P6" s="432" t="s">
        <v>256</v>
      </c>
      <c r="Q6" s="235">
        <v>2004</v>
      </c>
      <c r="R6" s="236">
        <v>2005</v>
      </c>
      <c r="S6" s="236">
        <v>2006</v>
      </c>
      <c r="T6" s="236">
        <v>2007</v>
      </c>
      <c r="U6" s="236">
        <v>2008</v>
      </c>
      <c r="V6" s="236">
        <v>2009</v>
      </c>
      <c r="W6" s="236">
        <v>2010</v>
      </c>
      <c r="X6" s="236">
        <v>2011</v>
      </c>
      <c r="Y6" s="236">
        <v>2012</v>
      </c>
      <c r="Z6" s="236">
        <v>2013</v>
      </c>
      <c r="AA6" s="236">
        <v>2014</v>
      </c>
      <c r="AB6" s="236">
        <v>2015</v>
      </c>
      <c r="AC6" s="237">
        <v>2016</v>
      </c>
      <c r="AD6" s="432" t="s">
        <v>256</v>
      </c>
      <c r="AE6" s="235">
        <v>2004</v>
      </c>
      <c r="AF6" s="236">
        <v>2005</v>
      </c>
      <c r="AG6" s="236">
        <v>2006</v>
      </c>
      <c r="AH6" s="236">
        <v>2007</v>
      </c>
      <c r="AI6" s="236">
        <v>2008</v>
      </c>
      <c r="AJ6" s="236">
        <v>2009</v>
      </c>
      <c r="AK6" s="236">
        <v>2010</v>
      </c>
      <c r="AL6" s="236">
        <v>2011</v>
      </c>
      <c r="AM6" s="236">
        <v>2012</v>
      </c>
      <c r="AN6" s="236">
        <v>2013</v>
      </c>
      <c r="AO6" s="236">
        <v>2014</v>
      </c>
      <c r="AP6" s="236">
        <v>2015</v>
      </c>
      <c r="AQ6" s="237">
        <v>2016</v>
      </c>
      <c r="AR6" s="432" t="s">
        <v>256</v>
      </c>
      <c r="AS6" s="218"/>
    </row>
    <row r="7" spans="2:45" ht="12.75" customHeight="1">
      <c r="B7" s="57" t="s">
        <v>222</v>
      </c>
      <c r="C7" s="717"/>
      <c r="D7" s="718"/>
      <c r="E7" s="719">
        <f>SUM(E10:E37)</f>
        <v>2039254</v>
      </c>
      <c r="F7" s="719">
        <f>SUM(F10:F37)</f>
        <v>2172340</v>
      </c>
      <c r="G7" s="719">
        <f>SUM(G10:G37)</f>
        <v>1952538</v>
      </c>
      <c r="H7" s="719">
        <f>SUM(H10:H37)</f>
        <v>1373511</v>
      </c>
      <c r="I7" s="719">
        <f>SUM(I10:I37)</f>
        <v>1495061</v>
      </c>
      <c r="J7" s="719">
        <f>SUM(J10:J37)</f>
        <v>1607613</v>
      </c>
      <c r="K7" s="719">
        <f>SUM(K10:K37)</f>
        <v>1392574</v>
      </c>
      <c r="L7" s="719">
        <f>SUM(L10:L37)</f>
        <v>1385737</v>
      </c>
      <c r="M7" s="722">
        <f>SUM(M10:M37)</f>
        <v>1544017</v>
      </c>
      <c r="N7" s="722">
        <f>SUM(N10:N37)</f>
        <v>1723535</v>
      </c>
      <c r="O7" s="720">
        <f>SUM(O10:O37)</f>
        <v>1924440</v>
      </c>
      <c r="P7" s="246">
        <f>O7/N7-1</f>
        <v>0.11656566301235549</v>
      </c>
      <c r="Q7" s="654"/>
      <c r="R7" s="655"/>
      <c r="S7" s="655"/>
      <c r="T7" s="655"/>
      <c r="U7" s="655"/>
      <c r="V7" s="655"/>
      <c r="W7" s="658"/>
      <c r="X7" s="658"/>
      <c r="Y7" s="655"/>
      <c r="Z7" s="655"/>
      <c r="AA7" s="658"/>
      <c r="AB7" s="658"/>
      <c r="AC7" s="659"/>
      <c r="AD7" s="238"/>
      <c r="AE7" s="654"/>
      <c r="AF7" s="655"/>
      <c r="AG7" s="655"/>
      <c r="AH7" s="655"/>
      <c r="AI7" s="655"/>
      <c r="AJ7" s="655"/>
      <c r="AK7" s="658"/>
      <c r="AL7" s="658"/>
      <c r="AM7" s="655"/>
      <c r="AN7" s="655"/>
      <c r="AO7" s="658"/>
      <c r="AP7" s="658"/>
      <c r="AQ7" s="659"/>
      <c r="AR7" s="238"/>
      <c r="AS7" s="57" t="s">
        <v>222</v>
      </c>
    </row>
    <row r="8" spans="1:45" ht="12.75" customHeight="1">
      <c r="A8" s="8"/>
      <c r="B8" s="221" t="s">
        <v>227</v>
      </c>
      <c r="C8" s="721">
        <f>SUM(C10,C13,C14,C16:C21,C25,C28:C29,C31,C35:C37)</f>
        <v>1867808</v>
      </c>
      <c r="D8" s="722">
        <f>SUM(D10,D13,D14,D16:D21,D25,D28:D29,D31,D35:D37)</f>
        <v>1937676</v>
      </c>
      <c r="E8" s="722">
        <f>SUM(E10,E13,E14,E16:E19,E25,E28:E29,E31,E35:E37,E21)</f>
        <v>1868368</v>
      </c>
      <c r="F8" s="722">
        <f aca="true" t="shared" si="0" ref="F8:K8">SUM(F10,F13,F14,F16:F19,F25,F28:F29,F31,F35:F37,F21)</f>
        <v>1971409</v>
      </c>
      <c r="G8" s="722">
        <f t="shared" si="0"/>
        <v>1743400</v>
      </c>
      <c r="H8" s="722">
        <f t="shared" si="0"/>
        <v>1256799</v>
      </c>
      <c r="I8" s="722">
        <f t="shared" si="0"/>
        <v>1396689</v>
      </c>
      <c r="J8" s="722">
        <f t="shared" si="0"/>
        <v>1491625</v>
      </c>
      <c r="K8" s="722">
        <f t="shared" si="0"/>
        <v>1285919</v>
      </c>
      <c r="L8" s="722">
        <f>SUM(L10,L13,L14,L16:L19,L25,L28:L29,L31,L35:L37,L21)</f>
        <v>1278292</v>
      </c>
      <c r="M8" s="722">
        <f>SUM(M10,M13,M14,M16:M19,M25,M28:M29,M31,M35:M37,M21)</f>
        <v>1423066</v>
      </c>
      <c r="N8" s="722">
        <f>SUM(N10,N13,N14,N16:N19,N25,N28:N29,N31,N35:N37,N21)</f>
        <v>1581984</v>
      </c>
      <c r="O8" s="720">
        <f>SUM(O10,O13,O14,O16:O19,O25,O28:O29,O31,O35:O37,O21)</f>
        <v>1764599</v>
      </c>
      <c r="P8" s="246">
        <f aca="true" t="shared" si="1" ref="P8:P40">O8/N8-1</f>
        <v>0.11543416368307136</v>
      </c>
      <c r="Q8" s="660">
        <f aca="true" t="shared" si="2" ref="Q8:AO8">SUM(Q10,Q13,Q14,Q16:Q19,Q25,Q28:Q29,Q31,Q35:Q37,Q21)</f>
        <v>101198</v>
      </c>
      <c r="R8" s="661">
        <f t="shared" si="2"/>
        <v>116221</v>
      </c>
      <c r="S8" s="661">
        <f t="shared" si="2"/>
        <v>101209</v>
      </c>
      <c r="T8" s="661">
        <f t="shared" si="2"/>
        <v>99035</v>
      </c>
      <c r="U8" s="661">
        <f t="shared" si="2"/>
        <v>97350</v>
      </c>
      <c r="V8" s="661">
        <f t="shared" si="2"/>
        <v>67379</v>
      </c>
      <c r="W8" s="661">
        <f t="shared" si="2"/>
        <v>69013</v>
      </c>
      <c r="X8" s="661">
        <f t="shared" si="2"/>
        <v>76930</v>
      </c>
      <c r="Y8" s="661">
        <f t="shared" si="2"/>
        <v>67051</v>
      </c>
      <c r="Z8" s="661">
        <f t="shared" si="2"/>
        <v>66235</v>
      </c>
      <c r="AA8" s="661">
        <f t="shared" si="2"/>
        <v>56784</v>
      </c>
      <c r="AB8" s="661">
        <f>SUM(AB10,AB13,AB14,AB16:AB19,AB25,AB28:AB29,AB31,AB35:AB37,AB21)</f>
        <v>59857</v>
      </c>
      <c r="AC8" s="657">
        <f t="shared" si="2"/>
        <v>58446</v>
      </c>
      <c r="AD8" s="942">
        <f>AC8/AB8-1</f>
        <v>-0.02357284862255038</v>
      </c>
      <c r="AE8" s="660">
        <f t="shared" si="2"/>
        <v>227873</v>
      </c>
      <c r="AF8" s="661">
        <f t="shared" si="2"/>
        <v>265364</v>
      </c>
      <c r="AG8" s="661">
        <f t="shared" si="2"/>
        <v>253387</v>
      </c>
      <c r="AH8" s="661">
        <f t="shared" si="2"/>
        <v>258378</v>
      </c>
      <c r="AI8" s="661">
        <f t="shared" si="2"/>
        <v>258860</v>
      </c>
      <c r="AJ8" s="661">
        <f t="shared" si="2"/>
        <v>143347</v>
      </c>
      <c r="AK8" s="661">
        <f t="shared" si="2"/>
        <v>150668</v>
      </c>
      <c r="AL8" s="661">
        <f t="shared" si="2"/>
        <v>196336</v>
      </c>
      <c r="AM8" s="661">
        <f t="shared" si="2"/>
        <v>179153</v>
      </c>
      <c r="AN8" s="661">
        <f t="shared" si="2"/>
        <v>192636</v>
      </c>
      <c r="AO8" s="661">
        <f t="shared" si="2"/>
        <v>179037</v>
      </c>
      <c r="AP8" s="661">
        <f>SUM(AP10,AP13,AP14,AP16:AP19,AP25,AP28:AP29,AP31,AP35:AP37,AP21)</f>
        <v>209957</v>
      </c>
      <c r="AQ8" s="657">
        <f>SUM(AQ10,AQ13,AQ14,AQ16:AQ19,AQ25,AQ28:AQ29,AQ31,AQ35:AQ37,AQ21)</f>
        <v>211373</v>
      </c>
      <c r="AR8" s="246">
        <f>AQ8/AP8-1</f>
        <v>0.006744238105897971</v>
      </c>
      <c r="AS8" s="221" t="s">
        <v>227</v>
      </c>
    </row>
    <row r="9" spans="1:45" ht="12.75" customHeight="1">
      <c r="A9" s="8"/>
      <c r="B9" s="56" t="s">
        <v>231</v>
      </c>
      <c r="C9" s="723"/>
      <c r="D9" s="724"/>
      <c r="E9" s="724">
        <f>E7-E8</f>
        <v>170886</v>
      </c>
      <c r="F9" s="724">
        <f aca="true" t="shared" si="3" ref="F9:L9">F7-F8</f>
        <v>200931</v>
      </c>
      <c r="G9" s="724">
        <f t="shared" si="3"/>
        <v>209138</v>
      </c>
      <c r="H9" s="724">
        <f t="shared" si="3"/>
        <v>116712</v>
      </c>
      <c r="I9" s="724">
        <f t="shared" si="3"/>
        <v>98372</v>
      </c>
      <c r="J9" s="724">
        <f t="shared" si="3"/>
        <v>115988</v>
      </c>
      <c r="K9" s="724">
        <f t="shared" si="3"/>
        <v>106655</v>
      </c>
      <c r="L9" s="724">
        <f t="shared" si="3"/>
        <v>107445</v>
      </c>
      <c r="M9" s="722">
        <f>M7-M8</f>
        <v>120951</v>
      </c>
      <c r="N9" s="722">
        <f>N7-N8</f>
        <v>141551</v>
      </c>
      <c r="O9" s="720">
        <f>O7-O8</f>
        <v>159841</v>
      </c>
      <c r="P9" s="246">
        <f t="shared" si="1"/>
        <v>0.1292113796440859</v>
      </c>
      <c r="Q9" s="664"/>
      <c r="R9" s="665"/>
      <c r="S9" s="665"/>
      <c r="T9" s="665"/>
      <c r="U9" s="665"/>
      <c r="V9" s="665"/>
      <c r="W9" s="658"/>
      <c r="X9" s="658"/>
      <c r="Y9" s="658"/>
      <c r="Z9" s="658"/>
      <c r="AA9" s="658"/>
      <c r="AB9" s="658"/>
      <c r="AC9" s="659"/>
      <c r="AD9" s="943"/>
      <c r="AE9" s="664"/>
      <c r="AF9" s="665"/>
      <c r="AG9" s="665"/>
      <c r="AH9" s="665"/>
      <c r="AI9" s="665"/>
      <c r="AJ9" s="665"/>
      <c r="AK9" s="658"/>
      <c r="AL9" s="658"/>
      <c r="AM9" s="658"/>
      <c r="AN9" s="658"/>
      <c r="AO9" s="658"/>
      <c r="AP9" s="658"/>
      <c r="AQ9" s="659"/>
      <c r="AR9" s="238"/>
      <c r="AS9" s="56" t="s">
        <v>231</v>
      </c>
    </row>
    <row r="10" spans="1:45" ht="12.75" customHeight="1">
      <c r="A10" s="8"/>
      <c r="B10" s="228" t="s">
        <v>62</v>
      </c>
      <c r="C10" s="725">
        <v>58539</v>
      </c>
      <c r="D10" s="726">
        <v>62068</v>
      </c>
      <c r="E10" s="727">
        <v>60156</v>
      </c>
      <c r="F10" s="727">
        <v>68007</v>
      </c>
      <c r="G10" s="727">
        <v>67546</v>
      </c>
      <c r="H10" s="728">
        <v>53620</v>
      </c>
      <c r="I10" s="728">
        <v>54856</v>
      </c>
      <c r="J10" s="728">
        <v>64049</v>
      </c>
      <c r="K10" s="728">
        <v>57020</v>
      </c>
      <c r="L10" s="728">
        <v>55793</v>
      </c>
      <c r="M10" s="728">
        <v>55801</v>
      </c>
      <c r="N10" s="728">
        <v>63856</v>
      </c>
      <c r="O10" s="729">
        <v>70849</v>
      </c>
      <c r="P10" s="240">
        <f t="shared" si="1"/>
        <v>0.10951202706088692</v>
      </c>
      <c r="Q10" s="669">
        <v>2584</v>
      </c>
      <c r="R10" s="666">
        <v>3344</v>
      </c>
      <c r="S10" s="666">
        <v>3007</v>
      </c>
      <c r="T10" s="666">
        <v>3206</v>
      </c>
      <c r="U10" s="666">
        <v>2934</v>
      </c>
      <c r="V10" s="667">
        <v>2630</v>
      </c>
      <c r="W10" s="667">
        <v>2477</v>
      </c>
      <c r="X10" s="667">
        <v>2438</v>
      </c>
      <c r="Y10" s="667">
        <v>2148</v>
      </c>
      <c r="Z10" s="667">
        <v>1888</v>
      </c>
      <c r="AA10" s="667">
        <v>2046</v>
      </c>
      <c r="AB10" s="667">
        <v>2374</v>
      </c>
      <c r="AC10" s="668">
        <v>2495</v>
      </c>
      <c r="AD10" s="240">
        <f aca="true" t="shared" si="4" ref="AD10:AD40">AC10/AB10-1</f>
        <v>0.05096882898062338</v>
      </c>
      <c r="AE10" s="670">
        <v>7794</v>
      </c>
      <c r="AF10" s="667">
        <v>9671</v>
      </c>
      <c r="AG10" s="667">
        <v>7772</v>
      </c>
      <c r="AH10" s="667">
        <v>9356</v>
      </c>
      <c r="AI10" s="667">
        <v>9590</v>
      </c>
      <c r="AJ10" s="667">
        <v>6202</v>
      </c>
      <c r="AK10" s="667">
        <v>5577</v>
      </c>
      <c r="AL10" s="667">
        <v>7795</v>
      </c>
      <c r="AM10" s="667">
        <v>6822</v>
      </c>
      <c r="AN10" s="667">
        <v>6314</v>
      </c>
      <c r="AO10" s="667">
        <v>6517</v>
      </c>
      <c r="AP10" s="667">
        <v>6992</v>
      </c>
      <c r="AQ10" s="668">
        <v>8243</v>
      </c>
      <c r="AR10" s="933">
        <f>AQ10/AP10-1</f>
        <v>0.17891876430205955</v>
      </c>
      <c r="AS10" s="229" t="s">
        <v>62</v>
      </c>
    </row>
    <row r="11" spans="1:45" ht="12.75" customHeight="1">
      <c r="A11" s="8"/>
      <c r="B11" s="221" t="s">
        <v>45</v>
      </c>
      <c r="C11" s="730"/>
      <c r="D11" s="731">
        <v>7631</v>
      </c>
      <c r="E11" s="732">
        <v>10242</v>
      </c>
      <c r="F11" s="732">
        <v>12225</v>
      </c>
      <c r="G11" s="732">
        <v>13642</v>
      </c>
      <c r="H11" s="732">
        <v>5514</v>
      </c>
      <c r="I11" s="732">
        <v>5835</v>
      </c>
      <c r="J11" s="732">
        <v>8454</v>
      </c>
      <c r="K11" s="732">
        <v>10231</v>
      </c>
      <c r="L11" s="732">
        <v>9446</v>
      </c>
      <c r="M11" s="732">
        <v>10749</v>
      </c>
      <c r="N11" s="732">
        <f>10900+2765</f>
        <v>13665</v>
      </c>
      <c r="O11" s="733">
        <v>12591</v>
      </c>
      <c r="P11" s="241">
        <f t="shared" si="1"/>
        <v>-0.07859495060373212</v>
      </c>
      <c r="Q11" s="673" t="s">
        <v>80</v>
      </c>
      <c r="R11" s="674" t="s">
        <v>80</v>
      </c>
      <c r="S11" s="674" t="s">
        <v>80</v>
      </c>
      <c r="T11" s="674" t="s">
        <v>80</v>
      </c>
      <c r="U11" s="674" t="s">
        <v>80</v>
      </c>
      <c r="V11" s="674" t="s">
        <v>80</v>
      </c>
      <c r="W11" s="674" t="s">
        <v>80</v>
      </c>
      <c r="X11" s="674" t="s">
        <v>80</v>
      </c>
      <c r="Y11" s="674" t="s">
        <v>80</v>
      </c>
      <c r="Z11" s="674" t="s">
        <v>80</v>
      </c>
      <c r="AA11" s="674" t="s">
        <v>80</v>
      </c>
      <c r="AB11" s="674" t="s">
        <v>80</v>
      </c>
      <c r="AC11" s="674" t="s">
        <v>80</v>
      </c>
      <c r="AD11" s="980"/>
      <c r="AE11" s="673" t="s">
        <v>80</v>
      </c>
      <c r="AF11" s="674" t="s">
        <v>80</v>
      </c>
      <c r="AG11" s="674" t="s">
        <v>80</v>
      </c>
      <c r="AH11" s="674" t="s">
        <v>80</v>
      </c>
      <c r="AI11" s="674" t="s">
        <v>80</v>
      </c>
      <c r="AJ11" s="674" t="s">
        <v>80</v>
      </c>
      <c r="AK11" s="674" t="s">
        <v>80</v>
      </c>
      <c r="AL11" s="675" t="s">
        <v>80</v>
      </c>
      <c r="AM11" s="675" t="s">
        <v>80</v>
      </c>
      <c r="AN11" s="675" t="s">
        <v>80</v>
      </c>
      <c r="AO11" s="675" t="s">
        <v>80</v>
      </c>
      <c r="AP11" s="675" t="s">
        <v>80</v>
      </c>
      <c r="AQ11" s="676" t="s">
        <v>80</v>
      </c>
      <c r="AR11" s="934"/>
      <c r="AS11" s="227" t="s">
        <v>45</v>
      </c>
    </row>
    <row r="12" spans="1:45" ht="12.75" customHeight="1">
      <c r="A12" s="8"/>
      <c r="B12" s="228" t="s">
        <v>47</v>
      </c>
      <c r="C12" s="725">
        <v>17186</v>
      </c>
      <c r="D12" s="726">
        <v>15965</v>
      </c>
      <c r="E12" s="727">
        <v>16185</v>
      </c>
      <c r="F12" s="727">
        <v>19534</v>
      </c>
      <c r="G12" s="727">
        <v>20269</v>
      </c>
      <c r="H12" s="727">
        <v>13007</v>
      </c>
      <c r="I12" s="727">
        <v>11429</v>
      </c>
      <c r="J12" s="727">
        <v>13377</v>
      </c>
      <c r="K12" s="727">
        <v>11628</v>
      </c>
      <c r="L12" s="727">
        <v>11658</v>
      </c>
      <c r="M12" s="727">
        <v>13215</v>
      </c>
      <c r="N12" s="727">
        <v>17272</v>
      </c>
      <c r="O12" s="734">
        <v>19236</v>
      </c>
      <c r="P12" s="242">
        <f>O12/N12-1</f>
        <v>0.1137100509495137</v>
      </c>
      <c r="Q12" s="669">
        <v>2273</v>
      </c>
      <c r="R12" s="666">
        <v>2713</v>
      </c>
      <c r="S12" s="666">
        <v>3264</v>
      </c>
      <c r="T12" s="666">
        <v>4007</v>
      </c>
      <c r="U12" s="666">
        <v>3895</v>
      </c>
      <c r="V12" s="666">
        <v>2012</v>
      </c>
      <c r="W12" s="666">
        <v>1288</v>
      </c>
      <c r="X12" s="666">
        <v>1436</v>
      </c>
      <c r="Y12" s="666">
        <v>1259</v>
      </c>
      <c r="Z12" s="666">
        <v>1532</v>
      </c>
      <c r="AA12" s="666">
        <v>1512</v>
      </c>
      <c r="AB12" s="666">
        <v>1830</v>
      </c>
      <c r="AC12" s="677">
        <v>1635</v>
      </c>
      <c r="AD12" s="242">
        <f t="shared" si="4"/>
        <v>-0.10655737704918034</v>
      </c>
      <c r="AE12" s="669">
        <v>4229</v>
      </c>
      <c r="AF12" s="666">
        <v>5546</v>
      </c>
      <c r="AG12" s="666">
        <v>6530</v>
      </c>
      <c r="AH12" s="666">
        <v>8072</v>
      </c>
      <c r="AI12" s="666">
        <v>7509</v>
      </c>
      <c r="AJ12" s="666">
        <v>3117</v>
      </c>
      <c r="AK12" s="666">
        <v>3665</v>
      </c>
      <c r="AL12" s="666">
        <v>5999</v>
      </c>
      <c r="AM12" s="666">
        <v>5684</v>
      </c>
      <c r="AN12" s="666">
        <v>6556</v>
      </c>
      <c r="AO12" s="666">
        <v>7775</v>
      </c>
      <c r="AP12" s="666">
        <v>9556</v>
      </c>
      <c r="AQ12" s="677">
        <v>10227</v>
      </c>
      <c r="AR12" s="935">
        <f aca="true" t="shared" si="5" ref="AR12:AR26">AQ12/AP12-1</f>
        <v>0.0702176642946839</v>
      </c>
      <c r="AS12" s="229" t="s">
        <v>47</v>
      </c>
    </row>
    <row r="13" spans="1:45" ht="12.75" customHeight="1">
      <c r="A13" s="8"/>
      <c r="B13" s="221" t="s">
        <v>58</v>
      </c>
      <c r="C13" s="730">
        <v>44791</v>
      </c>
      <c r="D13" s="731">
        <v>57880</v>
      </c>
      <c r="E13" s="732">
        <v>62792</v>
      </c>
      <c r="F13" s="732">
        <v>56067</v>
      </c>
      <c r="G13" s="732">
        <v>33602</v>
      </c>
      <c r="H13" s="732">
        <v>15207</v>
      </c>
      <c r="I13" s="732">
        <v>16092</v>
      </c>
      <c r="J13" s="732">
        <v>23600</v>
      </c>
      <c r="K13" s="732">
        <v>24053</v>
      </c>
      <c r="L13" s="732">
        <v>24007</v>
      </c>
      <c r="M13" s="732">
        <v>28471</v>
      </c>
      <c r="N13" s="732">
        <v>32456</v>
      </c>
      <c r="O13" s="733">
        <v>36624</v>
      </c>
      <c r="P13" s="241">
        <f t="shared" si="1"/>
        <v>0.12842001478925313</v>
      </c>
      <c r="Q13" s="678">
        <v>661</v>
      </c>
      <c r="R13" s="671">
        <v>982</v>
      </c>
      <c r="S13" s="671">
        <v>785</v>
      </c>
      <c r="T13" s="671">
        <v>855</v>
      </c>
      <c r="U13" s="671">
        <v>1157</v>
      </c>
      <c r="V13" s="671">
        <v>575</v>
      </c>
      <c r="W13" s="671">
        <v>522</v>
      </c>
      <c r="X13" s="671">
        <v>384</v>
      </c>
      <c r="Y13" s="671">
        <v>425</v>
      </c>
      <c r="Z13" s="671">
        <v>440</v>
      </c>
      <c r="AA13" s="671">
        <v>363</v>
      </c>
      <c r="AB13" s="671">
        <v>390</v>
      </c>
      <c r="AC13" s="672">
        <v>506</v>
      </c>
      <c r="AD13" s="241">
        <f t="shared" si="4"/>
        <v>0.2974358974358975</v>
      </c>
      <c r="AE13" s="678">
        <v>4000</v>
      </c>
      <c r="AF13" s="671">
        <v>5430</v>
      </c>
      <c r="AG13" s="671">
        <v>5205</v>
      </c>
      <c r="AH13" s="671">
        <v>6036</v>
      </c>
      <c r="AI13" s="671">
        <v>5516</v>
      </c>
      <c r="AJ13" s="671">
        <v>2677</v>
      </c>
      <c r="AK13" s="671">
        <v>2318</v>
      </c>
      <c r="AL13" s="671">
        <v>3164</v>
      </c>
      <c r="AM13" s="671">
        <v>3343</v>
      </c>
      <c r="AN13" s="671">
        <v>3871</v>
      </c>
      <c r="AO13" s="671">
        <v>3329</v>
      </c>
      <c r="AP13" s="671">
        <v>4363</v>
      </c>
      <c r="AQ13" s="672">
        <v>4593</v>
      </c>
      <c r="AR13" s="936">
        <f t="shared" si="5"/>
        <v>0.05271602108640838</v>
      </c>
      <c r="AS13" s="227" t="s">
        <v>58</v>
      </c>
    </row>
    <row r="14" spans="1:45" ht="12.75" customHeight="1">
      <c r="A14" s="8"/>
      <c r="B14" s="228" t="s">
        <v>63</v>
      </c>
      <c r="C14" s="725">
        <v>185541</v>
      </c>
      <c r="D14" s="726">
        <v>193736</v>
      </c>
      <c r="E14" s="727">
        <v>197513</v>
      </c>
      <c r="F14" s="727">
        <v>221769</v>
      </c>
      <c r="G14" s="727">
        <v>223525</v>
      </c>
      <c r="H14" s="727">
        <v>170067</v>
      </c>
      <c r="I14" s="727">
        <v>197270</v>
      </c>
      <c r="J14" s="727">
        <v>233617</v>
      </c>
      <c r="K14" s="727">
        <v>219508</v>
      </c>
      <c r="L14" s="727">
        <v>212831</v>
      </c>
      <c r="M14" s="727">
        <v>228390</v>
      </c>
      <c r="N14" s="727">
        <v>237922</v>
      </c>
      <c r="O14" s="734">
        <v>258119</v>
      </c>
      <c r="P14" s="242">
        <f t="shared" si="1"/>
        <v>0.08488916535671365</v>
      </c>
      <c r="Q14" s="669">
        <v>38735</v>
      </c>
      <c r="R14" s="666">
        <v>42018</v>
      </c>
      <c r="S14" s="666">
        <v>38373</v>
      </c>
      <c r="T14" s="666">
        <v>38452</v>
      </c>
      <c r="U14" s="666">
        <v>37792</v>
      </c>
      <c r="V14" s="666">
        <v>26177</v>
      </c>
      <c r="W14" s="666">
        <v>30841</v>
      </c>
      <c r="X14" s="666">
        <v>35943</v>
      </c>
      <c r="Y14" s="666">
        <v>31684</v>
      </c>
      <c r="Z14" s="666">
        <v>31417</v>
      </c>
      <c r="AA14" s="666">
        <v>27331</v>
      </c>
      <c r="AB14" s="666">
        <v>27765</v>
      </c>
      <c r="AC14" s="677">
        <v>27180</v>
      </c>
      <c r="AD14" s="242">
        <f t="shared" si="4"/>
        <v>-0.021069692058346856</v>
      </c>
      <c r="AE14" s="669">
        <v>53728</v>
      </c>
      <c r="AF14" s="666">
        <v>59873</v>
      </c>
      <c r="AG14" s="666">
        <v>62837</v>
      </c>
      <c r="AH14" s="666">
        <v>68424</v>
      </c>
      <c r="AI14" s="666">
        <v>67797</v>
      </c>
      <c r="AJ14" s="666">
        <v>40322</v>
      </c>
      <c r="AK14" s="666">
        <v>48827</v>
      </c>
      <c r="AL14" s="666">
        <v>60218</v>
      </c>
      <c r="AM14" s="666">
        <v>54534</v>
      </c>
      <c r="AN14" s="666">
        <v>55215</v>
      </c>
      <c r="AO14" s="666">
        <v>58574</v>
      </c>
      <c r="AP14" s="666">
        <v>61958</v>
      </c>
      <c r="AQ14" s="677">
        <v>65278</v>
      </c>
      <c r="AR14" s="935">
        <f t="shared" si="5"/>
        <v>0.053584686400464765</v>
      </c>
      <c r="AS14" s="229" t="s">
        <v>63</v>
      </c>
    </row>
    <row r="15" spans="1:45" ht="12.75" customHeight="1">
      <c r="A15" s="8"/>
      <c r="B15" s="221" t="s">
        <v>48</v>
      </c>
      <c r="C15" s="730">
        <v>2365</v>
      </c>
      <c r="D15" s="731">
        <v>2896</v>
      </c>
      <c r="E15" s="732">
        <v>3696</v>
      </c>
      <c r="F15" s="732">
        <v>4610</v>
      </c>
      <c r="G15" s="732">
        <v>2976</v>
      </c>
      <c r="H15" s="732">
        <v>1175</v>
      </c>
      <c r="I15" s="732">
        <v>1370</v>
      </c>
      <c r="J15" s="732">
        <v>2435</v>
      </c>
      <c r="K15" s="732">
        <v>2752</v>
      </c>
      <c r="L15" s="732">
        <v>2885</v>
      </c>
      <c r="M15" s="732">
        <v>3243</v>
      </c>
      <c r="N15" s="732">
        <v>3897</v>
      </c>
      <c r="O15" s="733">
        <v>4353</v>
      </c>
      <c r="P15" s="241">
        <f t="shared" si="1"/>
        <v>0.11701308698999235</v>
      </c>
      <c r="Q15" s="678">
        <v>89</v>
      </c>
      <c r="R15" s="671">
        <v>163</v>
      </c>
      <c r="S15" s="671">
        <v>147</v>
      </c>
      <c r="T15" s="671">
        <v>121</v>
      </c>
      <c r="U15" s="671">
        <v>109</v>
      </c>
      <c r="V15" s="671">
        <v>25</v>
      </c>
      <c r="W15" s="671">
        <v>50</v>
      </c>
      <c r="X15" s="671">
        <v>52</v>
      </c>
      <c r="Y15" s="671">
        <v>50</v>
      </c>
      <c r="Z15" s="671">
        <v>48</v>
      </c>
      <c r="AA15" s="671">
        <v>64</v>
      </c>
      <c r="AB15" s="671">
        <v>53</v>
      </c>
      <c r="AC15" s="672">
        <v>39</v>
      </c>
      <c r="AD15" s="241">
        <f t="shared" si="4"/>
        <v>-0.26415094339622647</v>
      </c>
      <c r="AE15" s="678">
        <v>549</v>
      </c>
      <c r="AF15" s="671">
        <v>812</v>
      </c>
      <c r="AG15" s="671">
        <v>1387</v>
      </c>
      <c r="AH15" s="671">
        <v>1597</v>
      </c>
      <c r="AI15" s="671">
        <v>1192</v>
      </c>
      <c r="AJ15" s="671">
        <v>231</v>
      </c>
      <c r="AK15" s="671">
        <v>320</v>
      </c>
      <c r="AL15" s="671">
        <v>694</v>
      </c>
      <c r="AM15" s="671">
        <v>684</v>
      </c>
      <c r="AN15" s="671">
        <v>808</v>
      </c>
      <c r="AO15" s="671">
        <v>712</v>
      </c>
      <c r="AP15" s="671">
        <v>714</v>
      </c>
      <c r="AQ15" s="672">
        <v>839</v>
      </c>
      <c r="AR15" s="936">
        <f t="shared" si="5"/>
        <v>0.17507002801120453</v>
      </c>
      <c r="AS15" s="227" t="s">
        <v>48</v>
      </c>
    </row>
    <row r="16" spans="1:45" ht="12.75" customHeight="1">
      <c r="A16" s="8"/>
      <c r="B16" s="228" t="s">
        <v>66</v>
      </c>
      <c r="C16" s="725">
        <v>29313</v>
      </c>
      <c r="D16" s="726">
        <v>36431</v>
      </c>
      <c r="E16" s="727">
        <v>39502</v>
      </c>
      <c r="F16" s="727">
        <v>42727</v>
      </c>
      <c r="G16" s="727">
        <v>28163</v>
      </c>
      <c r="H16" s="727">
        <v>8611</v>
      </c>
      <c r="I16" s="727">
        <v>9957</v>
      </c>
      <c r="J16" s="727">
        <v>10868</v>
      </c>
      <c r="K16" s="727">
        <v>10325</v>
      </c>
      <c r="L16" s="727">
        <v>10808</v>
      </c>
      <c r="M16" s="727">
        <v>16478</v>
      </c>
      <c r="N16" s="727">
        <v>23403</v>
      </c>
      <c r="O16" s="734">
        <v>27514</v>
      </c>
      <c r="P16" s="242">
        <f>O16/N16-1</f>
        <v>0.17566124001196437</v>
      </c>
      <c r="Q16" s="669">
        <v>1588</v>
      </c>
      <c r="R16" s="666">
        <v>1838</v>
      </c>
      <c r="S16" s="666">
        <v>3077</v>
      </c>
      <c r="T16" s="666">
        <v>2634</v>
      </c>
      <c r="U16" s="666">
        <v>2079</v>
      </c>
      <c r="V16" s="666">
        <v>859</v>
      </c>
      <c r="W16" s="666">
        <v>875</v>
      </c>
      <c r="X16" s="666">
        <v>690</v>
      </c>
      <c r="Y16" s="666">
        <v>645</v>
      </c>
      <c r="Z16" s="666">
        <v>441</v>
      </c>
      <c r="AA16" s="666">
        <v>510</v>
      </c>
      <c r="AB16" s="666">
        <v>759</v>
      </c>
      <c r="AC16" s="677">
        <v>937</v>
      </c>
      <c r="AD16" s="242">
        <f t="shared" si="4"/>
        <v>0.23451910408432153</v>
      </c>
      <c r="AE16" s="669">
        <v>2686</v>
      </c>
      <c r="AF16" s="666">
        <v>3696</v>
      </c>
      <c r="AG16" s="666">
        <v>3712</v>
      </c>
      <c r="AH16" s="666">
        <v>3504</v>
      </c>
      <c r="AI16" s="666">
        <v>2609</v>
      </c>
      <c r="AJ16" s="666">
        <v>699</v>
      </c>
      <c r="AK16" s="666">
        <v>611</v>
      </c>
      <c r="AL16" s="666">
        <v>807</v>
      </c>
      <c r="AM16" s="666">
        <v>919</v>
      </c>
      <c r="AN16" s="666">
        <v>1302</v>
      </c>
      <c r="AO16" s="666">
        <v>1438</v>
      </c>
      <c r="AP16" s="666">
        <v>1491</v>
      </c>
      <c r="AQ16" s="677">
        <v>2103</v>
      </c>
      <c r="AR16" s="935">
        <f t="shared" si="5"/>
        <v>0.4104627766599598</v>
      </c>
      <c r="AS16" s="229" t="s">
        <v>66</v>
      </c>
    </row>
    <row r="17" spans="1:45" ht="12.75" customHeight="1">
      <c r="A17" s="8"/>
      <c r="B17" s="221" t="s">
        <v>59</v>
      </c>
      <c r="C17" s="730">
        <v>22543</v>
      </c>
      <c r="D17" s="731">
        <v>23071</v>
      </c>
      <c r="E17" s="732">
        <v>23730</v>
      </c>
      <c r="F17" s="732">
        <v>24007</v>
      </c>
      <c r="G17" s="732">
        <v>22205</v>
      </c>
      <c r="H17" s="732">
        <v>14499</v>
      </c>
      <c r="I17" s="732">
        <v>10632</v>
      </c>
      <c r="J17" s="732">
        <v>6357</v>
      </c>
      <c r="K17" s="732">
        <v>3707</v>
      </c>
      <c r="L17" s="732">
        <v>3431</v>
      </c>
      <c r="M17" s="732">
        <v>4886</v>
      </c>
      <c r="N17" s="732">
        <v>5652</v>
      </c>
      <c r="O17" s="733">
        <v>5623</v>
      </c>
      <c r="P17" s="241">
        <f t="shared" si="1"/>
        <v>-0.005130927105449379</v>
      </c>
      <c r="Q17" s="678">
        <v>1288</v>
      </c>
      <c r="R17" s="671">
        <v>1114</v>
      </c>
      <c r="S17" s="671">
        <v>1173</v>
      </c>
      <c r="T17" s="671">
        <v>1298</v>
      </c>
      <c r="U17" s="671">
        <v>1287</v>
      </c>
      <c r="V17" s="671">
        <v>988</v>
      </c>
      <c r="W17" s="671">
        <v>688</v>
      </c>
      <c r="X17" s="671">
        <v>283</v>
      </c>
      <c r="Y17" s="671">
        <v>114</v>
      </c>
      <c r="Z17" s="671">
        <v>176</v>
      </c>
      <c r="AA17" s="671">
        <v>155</v>
      </c>
      <c r="AB17" s="671">
        <v>185</v>
      </c>
      <c r="AC17" s="672">
        <v>116</v>
      </c>
      <c r="AD17" s="241">
        <f t="shared" si="4"/>
        <v>-0.37297297297297294</v>
      </c>
      <c r="AE17" s="678">
        <v>944</v>
      </c>
      <c r="AF17" s="671">
        <v>1353</v>
      </c>
      <c r="AG17" s="671">
        <v>1014</v>
      </c>
      <c r="AH17" s="671">
        <v>1199</v>
      </c>
      <c r="AI17" s="671">
        <v>1503</v>
      </c>
      <c r="AJ17" s="671">
        <v>889</v>
      </c>
      <c r="AK17" s="671">
        <v>618</v>
      </c>
      <c r="AL17" s="671">
        <v>264</v>
      </c>
      <c r="AM17" s="671">
        <v>105</v>
      </c>
      <c r="AN17" s="671">
        <v>169</v>
      </c>
      <c r="AO17" s="671">
        <v>228</v>
      </c>
      <c r="AP17" s="671">
        <v>280</v>
      </c>
      <c r="AQ17" s="672">
        <v>205</v>
      </c>
      <c r="AR17" s="936">
        <f t="shared" si="5"/>
        <v>-0.2678571428571429</v>
      </c>
      <c r="AS17" s="227" t="s">
        <v>59</v>
      </c>
    </row>
    <row r="18" spans="1:45" ht="12.75" customHeight="1">
      <c r="A18" s="8"/>
      <c r="B18" s="228" t="s">
        <v>64</v>
      </c>
      <c r="C18" s="725">
        <v>333414</v>
      </c>
      <c r="D18" s="726">
        <v>386250</v>
      </c>
      <c r="E18" s="727">
        <v>273922</v>
      </c>
      <c r="F18" s="727">
        <v>275563</v>
      </c>
      <c r="G18" s="727">
        <v>165872</v>
      </c>
      <c r="H18" s="727">
        <v>106527</v>
      </c>
      <c r="I18" s="727">
        <v>116004</v>
      </c>
      <c r="J18" s="727">
        <v>104374</v>
      </c>
      <c r="K18" s="727">
        <v>76387</v>
      </c>
      <c r="L18" s="727">
        <v>85388</v>
      </c>
      <c r="M18" s="727">
        <v>113787</v>
      </c>
      <c r="N18" s="727">
        <v>154795</v>
      </c>
      <c r="O18" s="734">
        <v>172191</v>
      </c>
      <c r="P18" s="242">
        <f t="shared" si="1"/>
        <v>0.11238089085564784</v>
      </c>
      <c r="Q18" s="669">
        <v>8152</v>
      </c>
      <c r="R18" s="666">
        <v>9847</v>
      </c>
      <c r="S18" s="666">
        <v>8577</v>
      </c>
      <c r="T18" s="666">
        <v>9318</v>
      </c>
      <c r="U18" s="666">
        <v>7338</v>
      </c>
      <c r="V18" s="666">
        <v>3999</v>
      </c>
      <c r="W18" s="666">
        <v>3573</v>
      </c>
      <c r="X18" s="666">
        <v>3410</v>
      </c>
      <c r="Y18" s="666">
        <v>2451</v>
      </c>
      <c r="Z18" s="666">
        <v>2123</v>
      </c>
      <c r="AA18" s="666">
        <v>2320</v>
      </c>
      <c r="AB18" s="666">
        <v>3178</v>
      </c>
      <c r="AC18" s="677">
        <v>3759</v>
      </c>
      <c r="AD18" s="242">
        <f t="shared" si="4"/>
        <v>0.18281938325991187</v>
      </c>
      <c r="AE18" s="669">
        <v>29131</v>
      </c>
      <c r="AF18" s="666">
        <v>34514</v>
      </c>
      <c r="AG18" s="666">
        <v>32395</v>
      </c>
      <c r="AH18" s="666">
        <v>35779</v>
      </c>
      <c r="AI18" s="666">
        <v>24729</v>
      </c>
      <c r="AJ18" s="666">
        <v>8280</v>
      </c>
      <c r="AK18" s="666">
        <v>10117</v>
      </c>
      <c r="AL18" s="666">
        <v>12896</v>
      </c>
      <c r="AM18" s="666">
        <v>10589</v>
      </c>
      <c r="AN18" s="666">
        <v>11081</v>
      </c>
      <c r="AO18" s="666">
        <v>13970</v>
      </c>
      <c r="AP18" s="666">
        <v>19390</v>
      </c>
      <c r="AQ18" s="677">
        <v>21087</v>
      </c>
      <c r="AR18" s="935">
        <f t="shared" si="5"/>
        <v>0.0875193398659102</v>
      </c>
      <c r="AS18" s="229" t="s">
        <v>64</v>
      </c>
    </row>
    <row r="19" spans="1:45" ht="12.75" customHeight="1">
      <c r="A19" s="8"/>
      <c r="B19" s="221" t="s">
        <v>65</v>
      </c>
      <c r="C19" s="730">
        <v>407515</v>
      </c>
      <c r="D19" s="731">
        <v>419043</v>
      </c>
      <c r="E19" s="732">
        <v>439194</v>
      </c>
      <c r="F19" s="732">
        <v>460513</v>
      </c>
      <c r="G19" s="732">
        <v>458937</v>
      </c>
      <c r="H19" s="732">
        <v>372590</v>
      </c>
      <c r="I19" s="732">
        <v>415448</v>
      </c>
      <c r="J19" s="732">
        <v>426652</v>
      </c>
      <c r="K19" s="732">
        <v>381233</v>
      </c>
      <c r="L19" s="732">
        <v>364989</v>
      </c>
      <c r="M19" s="732">
        <v>370361</v>
      </c>
      <c r="N19" s="732">
        <v>377741</v>
      </c>
      <c r="O19" s="733">
        <v>408545</v>
      </c>
      <c r="P19" s="241">
        <f t="shared" si="1"/>
        <v>0.08154793893170198</v>
      </c>
      <c r="Q19" s="678">
        <v>9037</v>
      </c>
      <c r="R19" s="671">
        <v>11314</v>
      </c>
      <c r="S19" s="671">
        <v>9740</v>
      </c>
      <c r="T19" s="671">
        <v>8403</v>
      </c>
      <c r="U19" s="671">
        <v>9707</v>
      </c>
      <c r="V19" s="671">
        <v>7599</v>
      </c>
      <c r="W19" s="671">
        <v>7687</v>
      </c>
      <c r="X19" s="671">
        <v>9501</v>
      </c>
      <c r="Y19" s="671">
        <v>8208</v>
      </c>
      <c r="Z19" s="671">
        <v>7339</v>
      </c>
      <c r="AA19" s="671">
        <v>6086</v>
      </c>
      <c r="AB19" s="671">
        <v>5925</v>
      </c>
      <c r="AC19" s="672">
        <v>6557</v>
      </c>
      <c r="AD19" s="241">
        <f t="shared" si="4"/>
        <v>0.10666666666666669</v>
      </c>
      <c r="AE19" s="678">
        <v>38440</v>
      </c>
      <c r="AF19" s="671">
        <v>49765</v>
      </c>
      <c r="AG19" s="671">
        <v>43613</v>
      </c>
      <c r="AH19" s="671">
        <v>44405</v>
      </c>
      <c r="AI19" s="671">
        <v>48163</v>
      </c>
      <c r="AJ19" s="671">
        <v>28576</v>
      </c>
      <c r="AK19" s="671">
        <v>28172</v>
      </c>
      <c r="AL19" s="671">
        <v>39864</v>
      </c>
      <c r="AM19" s="671">
        <v>37465</v>
      </c>
      <c r="AN19" s="671">
        <v>37626</v>
      </c>
      <c r="AO19" s="671">
        <v>32698</v>
      </c>
      <c r="AP19" s="671">
        <v>36855</v>
      </c>
      <c r="AQ19" s="672">
        <v>41600</v>
      </c>
      <c r="AR19" s="936">
        <f t="shared" si="5"/>
        <v>0.12874779541446202</v>
      </c>
      <c r="AS19" s="227" t="s">
        <v>65</v>
      </c>
    </row>
    <row r="20" spans="1:45" ht="12.75" customHeight="1">
      <c r="A20" s="8"/>
      <c r="B20" s="10" t="s">
        <v>76</v>
      </c>
      <c r="C20" s="725">
        <v>12598</v>
      </c>
      <c r="D20" s="726">
        <v>12650</v>
      </c>
      <c r="E20" s="727">
        <v>13607</v>
      </c>
      <c r="F20" s="727">
        <v>13782</v>
      </c>
      <c r="G20" s="727">
        <v>13148</v>
      </c>
      <c r="H20" s="727">
        <v>6780</v>
      </c>
      <c r="I20" s="727">
        <v>4996</v>
      </c>
      <c r="J20" s="727">
        <v>5198</v>
      </c>
      <c r="K20" s="727">
        <v>5218</v>
      </c>
      <c r="L20" s="735">
        <v>5268</v>
      </c>
      <c r="M20" s="727">
        <v>5219</v>
      </c>
      <c r="N20" s="727">
        <v>6843</v>
      </c>
      <c r="O20" s="734">
        <v>8316</v>
      </c>
      <c r="P20" s="242">
        <f t="shared" si="1"/>
        <v>0.21525646646207797</v>
      </c>
      <c r="Q20" s="680" t="s">
        <v>80</v>
      </c>
      <c r="R20" s="681" t="s">
        <v>80</v>
      </c>
      <c r="S20" s="681" t="s">
        <v>80</v>
      </c>
      <c r="T20" s="681" t="s">
        <v>80</v>
      </c>
      <c r="U20" s="681" t="s">
        <v>80</v>
      </c>
      <c r="V20" s="682" t="s">
        <v>80</v>
      </c>
      <c r="W20" s="682" t="s">
        <v>80</v>
      </c>
      <c r="X20" s="682" t="s">
        <v>80</v>
      </c>
      <c r="Y20" s="682" t="s">
        <v>80</v>
      </c>
      <c r="Z20" s="683">
        <v>159</v>
      </c>
      <c r="AA20" s="683">
        <v>179</v>
      </c>
      <c r="AB20" s="683">
        <v>228</v>
      </c>
      <c r="AC20" s="684">
        <v>268</v>
      </c>
      <c r="AD20" s="242">
        <f t="shared" si="4"/>
        <v>0.17543859649122817</v>
      </c>
      <c r="AE20" s="680" t="s">
        <v>80</v>
      </c>
      <c r="AF20" s="681" t="s">
        <v>80</v>
      </c>
      <c r="AG20" s="681" t="s">
        <v>80</v>
      </c>
      <c r="AH20" s="681" t="s">
        <v>80</v>
      </c>
      <c r="AI20" s="681" t="s">
        <v>80</v>
      </c>
      <c r="AJ20" s="681" t="s">
        <v>80</v>
      </c>
      <c r="AK20" s="681" t="s">
        <v>80</v>
      </c>
      <c r="AL20" s="681" t="s">
        <v>80</v>
      </c>
      <c r="AM20" s="681" t="s">
        <v>80</v>
      </c>
      <c r="AN20" s="685">
        <v>479</v>
      </c>
      <c r="AO20" s="685">
        <v>738</v>
      </c>
      <c r="AP20" s="685">
        <v>749</v>
      </c>
      <c r="AQ20" s="686">
        <v>1057</v>
      </c>
      <c r="AR20" s="935">
        <f t="shared" si="5"/>
        <v>0.4112149532710281</v>
      </c>
      <c r="AS20" s="73" t="s">
        <v>76</v>
      </c>
    </row>
    <row r="21" spans="1:45" ht="12.75" customHeight="1">
      <c r="A21" s="8"/>
      <c r="B21" s="453" t="s">
        <v>67</v>
      </c>
      <c r="C21" s="736">
        <v>214009</v>
      </c>
      <c r="D21" s="737">
        <v>207400</v>
      </c>
      <c r="E21" s="738">
        <v>231436</v>
      </c>
      <c r="F21" s="738">
        <v>242626</v>
      </c>
      <c r="G21" s="738">
        <v>223885</v>
      </c>
      <c r="H21" s="738">
        <v>175405</v>
      </c>
      <c r="I21" s="738">
        <v>179502</v>
      </c>
      <c r="J21" s="738">
        <v>172265</v>
      </c>
      <c r="K21" s="738">
        <v>116673</v>
      </c>
      <c r="L21" s="738">
        <v>100378</v>
      </c>
      <c r="M21" s="738">
        <v>118909</v>
      </c>
      <c r="N21" s="738">
        <v>133680</v>
      </c>
      <c r="O21" s="739">
        <v>199534</v>
      </c>
      <c r="P21" s="249">
        <f t="shared" si="1"/>
        <v>0.4926241771394375</v>
      </c>
      <c r="Q21" s="689">
        <v>10843</v>
      </c>
      <c r="R21" s="687">
        <v>12101</v>
      </c>
      <c r="S21" s="687">
        <v>10188</v>
      </c>
      <c r="T21" s="687">
        <v>10083</v>
      </c>
      <c r="U21" s="687">
        <v>9286</v>
      </c>
      <c r="V21" s="687">
        <v>6714</v>
      </c>
      <c r="W21" s="687">
        <v>6098</v>
      </c>
      <c r="X21" s="687">
        <v>6581</v>
      </c>
      <c r="Y21" s="687">
        <v>3590</v>
      </c>
      <c r="Z21" s="687">
        <v>3026</v>
      </c>
      <c r="AA21" s="687">
        <v>3076</v>
      </c>
      <c r="AB21" s="687">
        <v>3318</v>
      </c>
      <c r="AC21" s="688">
        <v>4641</v>
      </c>
      <c r="AD21" s="249">
        <f t="shared" si="4"/>
        <v>0.3987341772151898</v>
      </c>
      <c r="AE21" s="689">
        <v>25350</v>
      </c>
      <c r="AF21" s="687">
        <v>28666</v>
      </c>
      <c r="AG21" s="687">
        <v>25560</v>
      </c>
      <c r="AH21" s="687">
        <v>25737</v>
      </c>
      <c r="AI21" s="687">
        <v>25191</v>
      </c>
      <c r="AJ21" s="687">
        <v>12372</v>
      </c>
      <c r="AK21" s="687">
        <v>11749</v>
      </c>
      <c r="AL21" s="687">
        <v>14166</v>
      </c>
      <c r="AM21" s="687">
        <v>10021</v>
      </c>
      <c r="AN21" s="687">
        <v>10503</v>
      </c>
      <c r="AO21" s="687">
        <v>9168</v>
      </c>
      <c r="AP21" s="687">
        <v>12011</v>
      </c>
      <c r="AQ21" s="688">
        <v>16515</v>
      </c>
      <c r="AR21" s="937">
        <f t="shared" si="5"/>
        <v>0.37498959287319966</v>
      </c>
      <c r="AS21" s="455" t="s">
        <v>67</v>
      </c>
    </row>
    <row r="22" spans="1:45" ht="12.75" customHeight="1">
      <c r="A22" s="8"/>
      <c r="B22" s="228" t="s">
        <v>46</v>
      </c>
      <c r="C22" s="725">
        <v>3479</v>
      </c>
      <c r="D22" s="726">
        <v>3233</v>
      </c>
      <c r="E22" s="727">
        <v>3697</v>
      </c>
      <c r="F22" s="727">
        <v>4578</v>
      </c>
      <c r="G22" s="727">
        <v>5228</v>
      </c>
      <c r="H22" s="727">
        <v>3397</v>
      </c>
      <c r="I22" s="727">
        <v>3584</v>
      </c>
      <c r="J22" s="727">
        <v>2596</v>
      </c>
      <c r="K22" s="727">
        <v>1395</v>
      </c>
      <c r="L22" s="727">
        <v>966</v>
      </c>
      <c r="M22" s="735">
        <v>1151</v>
      </c>
      <c r="N22" s="727">
        <v>1442</v>
      </c>
      <c r="O22" s="734">
        <v>1764</v>
      </c>
      <c r="P22" s="242">
        <f t="shared" si="1"/>
        <v>0.2233009708737863</v>
      </c>
      <c r="Q22" s="680" t="s">
        <v>80</v>
      </c>
      <c r="R22" s="681" t="s">
        <v>80</v>
      </c>
      <c r="S22" s="681" t="s">
        <v>80</v>
      </c>
      <c r="T22" s="681" t="s">
        <v>80</v>
      </c>
      <c r="U22" s="681" t="s">
        <v>80</v>
      </c>
      <c r="V22" s="682" t="s">
        <v>80</v>
      </c>
      <c r="W22" s="682" t="s">
        <v>80</v>
      </c>
      <c r="X22" s="682" t="s">
        <v>80</v>
      </c>
      <c r="Y22" s="682" t="s">
        <v>80</v>
      </c>
      <c r="Z22" s="682" t="s">
        <v>80</v>
      </c>
      <c r="AA22" s="683">
        <v>20</v>
      </c>
      <c r="AB22" s="683">
        <v>36</v>
      </c>
      <c r="AC22" s="684">
        <v>58</v>
      </c>
      <c r="AD22" s="242">
        <f t="shared" si="4"/>
        <v>0.6111111111111112</v>
      </c>
      <c r="AE22" s="680" t="s">
        <v>80</v>
      </c>
      <c r="AF22" s="681" t="s">
        <v>80</v>
      </c>
      <c r="AG22" s="681" t="s">
        <v>80</v>
      </c>
      <c r="AH22" s="681" t="s">
        <v>80</v>
      </c>
      <c r="AI22" s="681" t="s">
        <v>80</v>
      </c>
      <c r="AJ22" s="681" t="s">
        <v>80</v>
      </c>
      <c r="AK22" s="681" t="s">
        <v>80</v>
      </c>
      <c r="AL22" s="681" t="s">
        <v>80</v>
      </c>
      <c r="AM22" s="681" t="s">
        <v>80</v>
      </c>
      <c r="AN22" s="681" t="s">
        <v>80</v>
      </c>
      <c r="AO22" s="685">
        <v>5</v>
      </c>
      <c r="AP22" s="685">
        <v>11</v>
      </c>
      <c r="AQ22" s="686">
        <v>12</v>
      </c>
      <c r="AR22" s="938">
        <f t="shared" si="5"/>
        <v>0.09090909090909083</v>
      </c>
      <c r="AS22" s="229" t="s">
        <v>46</v>
      </c>
    </row>
    <row r="23" spans="1:45" ht="12.75" customHeight="1">
      <c r="A23" s="8"/>
      <c r="B23" s="453" t="s">
        <v>50</v>
      </c>
      <c r="C23" s="736">
        <v>1404</v>
      </c>
      <c r="D23" s="737">
        <v>1728</v>
      </c>
      <c r="E23" s="738">
        <v>2508</v>
      </c>
      <c r="F23" s="738">
        <v>3458</v>
      </c>
      <c r="G23" s="738">
        <v>2041</v>
      </c>
      <c r="H23" s="738">
        <v>520</v>
      </c>
      <c r="I23" s="738">
        <v>571</v>
      </c>
      <c r="J23" s="738">
        <v>1755</v>
      </c>
      <c r="K23" s="738">
        <v>2236</v>
      </c>
      <c r="L23" s="738">
        <v>2175</v>
      </c>
      <c r="M23" s="738">
        <v>2539</v>
      </c>
      <c r="N23" s="738">
        <v>2348</v>
      </c>
      <c r="O23" s="739">
        <v>2218</v>
      </c>
      <c r="P23" s="249">
        <f t="shared" si="1"/>
        <v>-0.055366269165247006</v>
      </c>
      <c r="Q23" s="689">
        <v>104</v>
      </c>
      <c r="R23" s="687">
        <v>286</v>
      </c>
      <c r="S23" s="687">
        <v>221</v>
      </c>
      <c r="T23" s="687">
        <v>271</v>
      </c>
      <c r="U23" s="687">
        <v>179</v>
      </c>
      <c r="V23" s="687">
        <v>49</v>
      </c>
      <c r="W23" s="687">
        <v>59</v>
      </c>
      <c r="X23" s="687">
        <v>110</v>
      </c>
      <c r="Y23" s="687">
        <v>89</v>
      </c>
      <c r="Z23" s="687">
        <v>71</v>
      </c>
      <c r="AA23" s="687">
        <v>57</v>
      </c>
      <c r="AB23" s="687">
        <v>76</v>
      </c>
      <c r="AC23" s="688">
        <v>57</v>
      </c>
      <c r="AD23" s="249">
        <f t="shared" si="4"/>
        <v>-0.25</v>
      </c>
      <c r="AE23" s="689">
        <v>782</v>
      </c>
      <c r="AF23" s="687">
        <v>1023</v>
      </c>
      <c r="AG23" s="687">
        <v>1926</v>
      </c>
      <c r="AH23" s="687">
        <v>2990</v>
      </c>
      <c r="AI23" s="687">
        <v>1811</v>
      </c>
      <c r="AJ23" s="687">
        <v>251</v>
      </c>
      <c r="AK23" s="687">
        <v>410</v>
      </c>
      <c r="AL23" s="687">
        <v>1280</v>
      </c>
      <c r="AM23" s="687">
        <v>1420</v>
      </c>
      <c r="AN23" s="687">
        <v>1229</v>
      </c>
      <c r="AO23" s="687">
        <v>843</v>
      </c>
      <c r="AP23" s="687">
        <v>1179</v>
      </c>
      <c r="AQ23" s="688">
        <v>1531</v>
      </c>
      <c r="AR23" s="937">
        <f t="shared" si="5"/>
        <v>0.29855810008481765</v>
      </c>
      <c r="AS23" s="455" t="s">
        <v>50</v>
      </c>
    </row>
    <row r="24" spans="1:45" ht="12.75" customHeight="1">
      <c r="A24" s="8"/>
      <c r="B24" s="228" t="s">
        <v>51</v>
      </c>
      <c r="C24" s="725">
        <v>2064</v>
      </c>
      <c r="D24" s="726">
        <v>3303</v>
      </c>
      <c r="E24" s="727">
        <v>4107</v>
      </c>
      <c r="F24" s="727">
        <v>4251</v>
      </c>
      <c r="G24" s="727">
        <v>3000</v>
      </c>
      <c r="H24" s="727">
        <v>776</v>
      </c>
      <c r="I24" s="727">
        <v>936</v>
      </c>
      <c r="J24" s="727">
        <v>1824</v>
      </c>
      <c r="K24" s="727">
        <v>1600</v>
      </c>
      <c r="L24" s="727">
        <v>1823</v>
      </c>
      <c r="M24" s="727">
        <v>1991</v>
      </c>
      <c r="N24" s="727">
        <v>2369</v>
      </c>
      <c r="O24" s="734">
        <v>2791</v>
      </c>
      <c r="P24" s="242">
        <f t="shared" si="1"/>
        <v>0.1781342338539469</v>
      </c>
      <c r="Q24" s="669">
        <v>172</v>
      </c>
      <c r="R24" s="666">
        <v>261</v>
      </c>
      <c r="S24" s="666">
        <v>231</v>
      </c>
      <c r="T24" s="666">
        <v>327</v>
      </c>
      <c r="U24" s="666">
        <v>390</v>
      </c>
      <c r="V24" s="666">
        <v>100</v>
      </c>
      <c r="W24" s="666">
        <v>69</v>
      </c>
      <c r="X24" s="666">
        <v>124</v>
      </c>
      <c r="Y24" s="666">
        <v>110</v>
      </c>
      <c r="Z24" s="666">
        <v>193</v>
      </c>
      <c r="AA24" s="666">
        <v>134</v>
      </c>
      <c r="AB24" s="666">
        <v>105</v>
      </c>
      <c r="AC24" s="677">
        <v>113</v>
      </c>
      <c r="AD24" s="242">
        <f t="shared" si="4"/>
        <v>0.07619047619047614</v>
      </c>
      <c r="AE24" s="669">
        <v>1486</v>
      </c>
      <c r="AF24" s="666">
        <v>2104</v>
      </c>
      <c r="AG24" s="666">
        <v>2893</v>
      </c>
      <c r="AH24" s="666">
        <v>4679</v>
      </c>
      <c r="AI24" s="666">
        <v>3084</v>
      </c>
      <c r="AJ24" s="666">
        <v>414</v>
      </c>
      <c r="AK24" s="666">
        <v>1300</v>
      </c>
      <c r="AL24" s="666">
        <v>2638</v>
      </c>
      <c r="AM24" s="666">
        <v>2649</v>
      </c>
      <c r="AN24" s="666">
        <v>3228</v>
      </c>
      <c r="AO24" s="666">
        <v>2117</v>
      </c>
      <c r="AP24" s="666">
        <v>3497</v>
      </c>
      <c r="AQ24" s="677">
        <v>5891</v>
      </c>
      <c r="AR24" s="935">
        <f t="shared" si="5"/>
        <v>0.684586788676008</v>
      </c>
      <c r="AS24" s="229" t="s">
        <v>51</v>
      </c>
    </row>
    <row r="25" spans="1:45" ht="12.75" customHeight="1">
      <c r="A25" s="8"/>
      <c r="B25" s="453" t="s">
        <v>68</v>
      </c>
      <c r="C25" s="736">
        <v>2670</v>
      </c>
      <c r="D25" s="737">
        <v>3025</v>
      </c>
      <c r="E25" s="738">
        <v>3083</v>
      </c>
      <c r="F25" s="738">
        <v>3492</v>
      </c>
      <c r="G25" s="738">
        <v>4028</v>
      </c>
      <c r="H25" s="738">
        <v>3063</v>
      </c>
      <c r="I25" s="738">
        <v>3246</v>
      </c>
      <c r="J25" s="738">
        <v>3592</v>
      </c>
      <c r="K25" s="738">
        <v>3424</v>
      </c>
      <c r="L25" s="738">
        <v>3276</v>
      </c>
      <c r="M25" s="738">
        <v>3529</v>
      </c>
      <c r="N25" s="738">
        <v>3949</v>
      </c>
      <c r="O25" s="739">
        <v>4593</v>
      </c>
      <c r="P25" s="249">
        <f t="shared" si="1"/>
        <v>0.16307926057229682</v>
      </c>
      <c r="Q25" s="689">
        <v>159</v>
      </c>
      <c r="R25" s="687">
        <v>219</v>
      </c>
      <c r="S25" s="687">
        <v>159</v>
      </c>
      <c r="T25" s="687">
        <v>175</v>
      </c>
      <c r="U25" s="687">
        <v>209</v>
      </c>
      <c r="V25" s="687">
        <v>135</v>
      </c>
      <c r="W25" s="687">
        <v>147</v>
      </c>
      <c r="X25" s="687">
        <v>193</v>
      </c>
      <c r="Y25" s="687">
        <v>169</v>
      </c>
      <c r="Z25" s="687">
        <v>163</v>
      </c>
      <c r="AA25" s="687">
        <v>170</v>
      </c>
      <c r="AB25" s="687">
        <v>147</v>
      </c>
      <c r="AC25" s="688">
        <v>143</v>
      </c>
      <c r="AD25" s="249">
        <f t="shared" si="4"/>
        <v>-0.027210884353741527</v>
      </c>
      <c r="AE25" s="689">
        <v>879</v>
      </c>
      <c r="AF25" s="687">
        <v>1361</v>
      </c>
      <c r="AG25" s="687">
        <v>1265</v>
      </c>
      <c r="AH25" s="687">
        <v>1472</v>
      </c>
      <c r="AI25" s="687">
        <v>1584</v>
      </c>
      <c r="AJ25" s="687">
        <v>790</v>
      </c>
      <c r="AK25" s="687">
        <v>700</v>
      </c>
      <c r="AL25" s="687">
        <v>1153</v>
      </c>
      <c r="AM25" s="687">
        <v>899</v>
      </c>
      <c r="AN25" s="687">
        <v>848</v>
      </c>
      <c r="AO25" s="687">
        <v>918</v>
      </c>
      <c r="AP25" s="687">
        <v>1005</v>
      </c>
      <c r="AQ25" s="688">
        <v>1145</v>
      </c>
      <c r="AR25" s="937">
        <f t="shared" si="5"/>
        <v>0.1393034825870647</v>
      </c>
      <c r="AS25" s="455" t="s">
        <v>68</v>
      </c>
    </row>
    <row r="26" spans="1:45" ht="12.75" customHeight="1">
      <c r="A26" s="8"/>
      <c r="B26" s="228" t="s">
        <v>49</v>
      </c>
      <c r="C26" s="725">
        <v>29641</v>
      </c>
      <c r="D26" s="726">
        <v>35500</v>
      </c>
      <c r="E26" s="727">
        <v>21604</v>
      </c>
      <c r="F26" s="727">
        <v>21920</v>
      </c>
      <c r="G26" s="727">
        <v>21559</v>
      </c>
      <c r="H26" s="727">
        <v>10619</v>
      </c>
      <c r="I26" s="727">
        <v>9187</v>
      </c>
      <c r="J26" s="727">
        <v>11446</v>
      </c>
      <c r="K26" s="727">
        <v>10952</v>
      </c>
      <c r="L26" s="727">
        <v>11424</v>
      </c>
      <c r="M26" s="727">
        <v>15937</v>
      </c>
      <c r="N26" s="727">
        <v>17516</v>
      </c>
      <c r="O26" s="734">
        <v>21335</v>
      </c>
      <c r="P26" s="242">
        <f t="shared" si="1"/>
        <v>0.21802923041790367</v>
      </c>
      <c r="Q26" s="680"/>
      <c r="R26" s="681"/>
      <c r="S26" s="681"/>
      <c r="T26" s="681"/>
      <c r="U26" s="681"/>
      <c r="V26" s="666"/>
      <c r="W26" s="666">
        <v>313</v>
      </c>
      <c r="X26" s="666">
        <v>417</v>
      </c>
      <c r="Y26" s="666">
        <v>371</v>
      </c>
      <c r="Z26" s="666">
        <v>434</v>
      </c>
      <c r="AA26" s="666">
        <v>400</v>
      </c>
      <c r="AB26" s="666">
        <v>471</v>
      </c>
      <c r="AC26" s="677">
        <v>475</v>
      </c>
      <c r="AD26" s="242">
        <f t="shared" si="4"/>
        <v>0.00849256900212314</v>
      </c>
      <c r="AE26" s="669">
        <v>5146</v>
      </c>
      <c r="AF26" s="666">
        <v>6171</v>
      </c>
      <c r="AG26" s="666"/>
      <c r="AH26" s="666"/>
      <c r="AI26" s="666"/>
      <c r="AJ26" s="666"/>
      <c r="AK26" s="666">
        <v>1965</v>
      </c>
      <c r="AL26" s="666">
        <v>3884</v>
      </c>
      <c r="AM26" s="666">
        <v>3949</v>
      </c>
      <c r="AN26" s="666">
        <v>4546</v>
      </c>
      <c r="AO26" s="666">
        <v>4439</v>
      </c>
      <c r="AP26" s="666">
        <v>5231</v>
      </c>
      <c r="AQ26" s="677">
        <v>5038</v>
      </c>
      <c r="AR26" s="935">
        <f t="shared" si="5"/>
        <v>-0.03689543108392279</v>
      </c>
      <c r="AS26" s="229" t="s">
        <v>49</v>
      </c>
    </row>
    <row r="27" spans="1:45" ht="12.75" customHeight="1">
      <c r="A27" s="8"/>
      <c r="B27" s="453" t="s">
        <v>52</v>
      </c>
      <c r="C27" s="736">
        <v>375</v>
      </c>
      <c r="D27" s="737">
        <v>652</v>
      </c>
      <c r="E27" s="738">
        <v>564</v>
      </c>
      <c r="F27" s="738">
        <v>865</v>
      </c>
      <c r="G27" s="738">
        <v>783</v>
      </c>
      <c r="H27" s="738">
        <v>471</v>
      </c>
      <c r="I27" s="738">
        <v>924</v>
      </c>
      <c r="J27" s="738">
        <v>1392</v>
      </c>
      <c r="K27" s="738">
        <v>552</v>
      </c>
      <c r="L27" s="738">
        <v>536</v>
      </c>
      <c r="M27" s="738">
        <v>544</v>
      </c>
      <c r="N27" s="738">
        <v>608</v>
      </c>
      <c r="O27" s="739">
        <v>742</v>
      </c>
      <c r="P27" s="249">
        <f t="shared" si="1"/>
        <v>0.2203947368421053</v>
      </c>
      <c r="Q27" s="690" t="s">
        <v>80</v>
      </c>
      <c r="R27" s="691" t="s">
        <v>80</v>
      </c>
      <c r="S27" s="691" t="s">
        <v>80</v>
      </c>
      <c r="T27" s="691" t="s">
        <v>80</v>
      </c>
      <c r="U27" s="691" t="s">
        <v>80</v>
      </c>
      <c r="V27" s="691" t="s">
        <v>80</v>
      </c>
      <c r="W27" s="691" t="s">
        <v>80</v>
      </c>
      <c r="X27" s="691" t="s">
        <v>80</v>
      </c>
      <c r="Y27" s="691" t="s">
        <v>80</v>
      </c>
      <c r="Z27" s="691" t="s">
        <v>80</v>
      </c>
      <c r="AA27" s="691" t="s">
        <v>80</v>
      </c>
      <c r="AB27" s="691" t="s">
        <v>80</v>
      </c>
      <c r="AC27" s="691" t="s">
        <v>80</v>
      </c>
      <c r="AD27" s="944"/>
      <c r="AE27" s="690" t="s">
        <v>80</v>
      </c>
      <c r="AF27" s="691" t="s">
        <v>80</v>
      </c>
      <c r="AG27" s="691" t="s">
        <v>80</v>
      </c>
      <c r="AH27" s="691" t="s">
        <v>80</v>
      </c>
      <c r="AI27" s="691" t="s">
        <v>80</v>
      </c>
      <c r="AJ27" s="691" t="s">
        <v>80</v>
      </c>
      <c r="AK27" s="691" t="s">
        <v>80</v>
      </c>
      <c r="AL27" s="691" t="s">
        <v>80</v>
      </c>
      <c r="AM27" s="691" t="s">
        <v>80</v>
      </c>
      <c r="AN27" s="691" t="s">
        <v>80</v>
      </c>
      <c r="AO27" s="691" t="s">
        <v>80</v>
      </c>
      <c r="AP27" s="691" t="s">
        <v>80</v>
      </c>
      <c r="AQ27" s="692" t="s">
        <v>80</v>
      </c>
      <c r="AR27" s="934"/>
      <c r="AS27" s="455" t="s">
        <v>52</v>
      </c>
    </row>
    <row r="28" spans="1:45" ht="12.75" customHeight="1">
      <c r="A28" s="8"/>
      <c r="B28" s="10" t="s">
        <v>60</v>
      </c>
      <c r="C28" s="725">
        <v>86126</v>
      </c>
      <c r="D28" s="726">
        <v>65224</v>
      </c>
      <c r="E28" s="727">
        <v>63913</v>
      </c>
      <c r="F28" s="727">
        <v>80830</v>
      </c>
      <c r="G28" s="727">
        <v>84654</v>
      </c>
      <c r="H28" s="727">
        <v>51281</v>
      </c>
      <c r="I28" s="727">
        <v>49564</v>
      </c>
      <c r="J28" s="727">
        <v>58653</v>
      </c>
      <c r="K28" s="727">
        <v>56543</v>
      </c>
      <c r="L28" s="727">
        <v>50246</v>
      </c>
      <c r="M28" s="727">
        <v>51523</v>
      </c>
      <c r="N28" s="727">
        <v>57376</v>
      </c>
      <c r="O28" s="734">
        <v>70025</v>
      </c>
      <c r="P28" s="242">
        <f t="shared" si="1"/>
        <v>0.22045803123257102</v>
      </c>
      <c r="Q28" s="669">
        <v>2799</v>
      </c>
      <c r="R28" s="666">
        <v>3255</v>
      </c>
      <c r="S28" s="666">
        <v>3309</v>
      </c>
      <c r="T28" s="666">
        <v>2167</v>
      </c>
      <c r="U28" s="666">
        <v>2555</v>
      </c>
      <c r="V28" s="666">
        <v>1794</v>
      </c>
      <c r="W28" s="666">
        <v>1689</v>
      </c>
      <c r="X28" s="666">
        <v>1753</v>
      </c>
      <c r="Y28" s="666">
        <v>1778</v>
      </c>
      <c r="Z28" s="666">
        <v>1757</v>
      </c>
      <c r="AA28" s="666">
        <v>1258</v>
      </c>
      <c r="AB28" s="666">
        <v>1602</v>
      </c>
      <c r="AC28" s="677">
        <v>1771</v>
      </c>
      <c r="AD28" s="242">
        <f t="shared" si="4"/>
        <v>0.10549313358302115</v>
      </c>
      <c r="AE28" s="669">
        <v>11588</v>
      </c>
      <c r="AF28" s="666">
        <v>12290</v>
      </c>
      <c r="AG28" s="666">
        <v>16695</v>
      </c>
      <c r="AH28" s="666">
        <v>13117</v>
      </c>
      <c r="AI28" s="666">
        <v>15719</v>
      </c>
      <c r="AJ28" s="666">
        <v>9963</v>
      </c>
      <c r="AK28" s="666">
        <v>8959</v>
      </c>
      <c r="AL28" s="666">
        <v>11172</v>
      </c>
      <c r="AM28" s="666">
        <v>10569</v>
      </c>
      <c r="AN28" s="666">
        <v>11810</v>
      </c>
      <c r="AO28" s="666">
        <v>9326</v>
      </c>
      <c r="AP28" s="666">
        <v>12478</v>
      </c>
      <c r="AQ28" s="677">
        <v>13949</v>
      </c>
      <c r="AR28" s="935">
        <f aca="true" t="shared" si="6" ref="AR28:AR40">AQ28/AP28-1</f>
        <v>0.11788748196826404</v>
      </c>
      <c r="AS28" s="73" t="s">
        <v>60</v>
      </c>
    </row>
    <row r="29" spans="1:45" ht="12.75" customHeight="1">
      <c r="A29" s="8"/>
      <c r="B29" s="453" t="s">
        <v>69</v>
      </c>
      <c r="C29" s="736">
        <v>28888</v>
      </c>
      <c r="D29" s="737">
        <v>28752</v>
      </c>
      <c r="E29" s="738">
        <v>30357</v>
      </c>
      <c r="F29" s="738">
        <v>32322</v>
      </c>
      <c r="G29" s="738">
        <v>32763</v>
      </c>
      <c r="H29" s="738">
        <v>25582</v>
      </c>
      <c r="I29" s="738">
        <v>27992</v>
      </c>
      <c r="J29" s="738">
        <v>32563</v>
      </c>
      <c r="K29" s="738">
        <v>31505</v>
      </c>
      <c r="L29" s="738">
        <v>30714</v>
      </c>
      <c r="M29" s="738">
        <v>31171</v>
      </c>
      <c r="N29" s="738">
        <v>32852</v>
      </c>
      <c r="O29" s="739">
        <v>35906</v>
      </c>
      <c r="P29" s="249">
        <f t="shared" si="1"/>
        <v>0.09296237671983443</v>
      </c>
      <c r="Q29" s="689">
        <v>1047</v>
      </c>
      <c r="R29" s="687">
        <v>1048</v>
      </c>
      <c r="S29" s="687">
        <v>992</v>
      </c>
      <c r="T29" s="687">
        <v>1144</v>
      </c>
      <c r="U29" s="687">
        <v>1158</v>
      </c>
      <c r="V29" s="687">
        <v>864</v>
      </c>
      <c r="W29" s="687">
        <v>798</v>
      </c>
      <c r="X29" s="687">
        <v>899</v>
      </c>
      <c r="Y29" s="687">
        <v>847</v>
      </c>
      <c r="Z29" s="687">
        <v>794</v>
      </c>
      <c r="AA29" s="687">
        <v>791</v>
      </c>
      <c r="AB29" s="687">
        <v>830</v>
      </c>
      <c r="AC29" s="688">
        <v>842</v>
      </c>
      <c r="AD29" s="249">
        <f t="shared" si="4"/>
        <v>0.014457831325301207</v>
      </c>
      <c r="AE29" s="689">
        <v>8643</v>
      </c>
      <c r="AF29" s="687">
        <v>7878</v>
      </c>
      <c r="AG29" s="687">
        <v>6617</v>
      </c>
      <c r="AH29" s="687">
        <v>7273</v>
      </c>
      <c r="AI29" s="687">
        <v>7432</v>
      </c>
      <c r="AJ29" s="687">
        <v>3926</v>
      </c>
      <c r="AK29" s="687">
        <v>4387</v>
      </c>
      <c r="AL29" s="687">
        <v>6446</v>
      </c>
      <c r="AM29" s="687">
        <v>5807</v>
      </c>
      <c r="AN29" s="687">
        <v>6636</v>
      </c>
      <c r="AO29" s="687">
        <v>6035</v>
      </c>
      <c r="AP29" s="687">
        <v>6461</v>
      </c>
      <c r="AQ29" s="688">
        <v>7150</v>
      </c>
      <c r="AR29" s="937">
        <f t="shared" si="6"/>
        <v>0.10663983903420515</v>
      </c>
      <c r="AS29" s="455" t="s">
        <v>69</v>
      </c>
    </row>
    <row r="30" spans="1:45" ht="12.75" customHeight="1">
      <c r="A30" s="8"/>
      <c r="B30" s="228" t="s">
        <v>53</v>
      </c>
      <c r="C30" s="725">
        <v>34508</v>
      </c>
      <c r="D30" s="726">
        <v>35270</v>
      </c>
      <c r="E30" s="727">
        <v>38618</v>
      </c>
      <c r="F30" s="727">
        <v>52048</v>
      </c>
      <c r="G30" s="727">
        <v>55896</v>
      </c>
      <c r="H30" s="727">
        <v>40232</v>
      </c>
      <c r="I30" s="727">
        <v>38647</v>
      </c>
      <c r="J30" s="727">
        <v>45511</v>
      </c>
      <c r="K30" s="727">
        <v>38425</v>
      </c>
      <c r="L30" s="727">
        <v>41143</v>
      </c>
      <c r="M30" s="727">
        <v>44199</v>
      </c>
      <c r="N30" s="727">
        <v>50307</v>
      </c>
      <c r="O30" s="734">
        <v>56926</v>
      </c>
      <c r="P30" s="242">
        <f t="shared" si="1"/>
        <v>0.13157214701731368</v>
      </c>
      <c r="Q30" s="669">
        <v>4092</v>
      </c>
      <c r="R30" s="666">
        <v>4377</v>
      </c>
      <c r="S30" s="666">
        <v>5162</v>
      </c>
      <c r="T30" s="666">
        <v>6330</v>
      </c>
      <c r="U30" s="666">
        <v>6004</v>
      </c>
      <c r="V30" s="666">
        <v>3650</v>
      </c>
      <c r="W30" s="666">
        <v>4497</v>
      </c>
      <c r="X30" s="666">
        <v>2550</v>
      </c>
      <c r="Y30" s="666">
        <v>2249</v>
      </c>
      <c r="Z30" s="666">
        <v>2928</v>
      </c>
      <c r="AA30" s="666">
        <v>2280</v>
      </c>
      <c r="AB30" s="666">
        <v>2127</v>
      </c>
      <c r="AC30" s="677">
        <v>2108</v>
      </c>
      <c r="AD30" s="461">
        <f t="shared" si="4"/>
        <v>-0.008932769158439102</v>
      </c>
      <c r="AE30" s="669">
        <v>8449</v>
      </c>
      <c r="AF30" s="666">
        <v>7417</v>
      </c>
      <c r="AG30" s="666">
        <v>10734</v>
      </c>
      <c r="AH30" s="666">
        <v>18243</v>
      </c>
      <c r="AI30" s="666">
        <v>16401</v>
      </c>
      <c r="AJ30" s="666">
        <v>6235</v>
      </c>
      <c r="AK30" s="666">
        <v>8516</v>
      </c>
      <c r="AL30" s="666">
        <v>14555</v>
      </c>
      <c r="AM30" s="666">
        <v>14389</v>
      </c>
      <c r="AN30" s="666">
        <v>16775</v>
      </c>
      <c r="AO30" s="666">
        <v>15431</v>
      </c>
      <c r="AP30" s="666">
        <v>20303</v>
      </c>
      <c r="AQ30" s="677">
        <v>24522</v>
      </c>
      <c r="AR30" s="935">
        <f t="shared" si="6"/>
        <v>0.20780180268925785</v>
      </c>
      <c r="AS30" s="229" t="s">
        <v>53</v>
      </c>
    </row>
    <row r="31" spans="1:45" ht="12.75" customHeight="1">
      <c r="A31" s="8"/>
      <c r="B31" s="453" t="s">
        <v>70</v>
      </c>
      <c r="C31" s="736">
        <v>70890</v>
      </c>
      <c r="D31" s="737">
        <v>66632</v>
      </c>
      <c r="E31" s="738">
        <v>64342</v>
      </c>
      <c r="F31" s="738">
        <v>68418</v>
      </c>
      <c r="G31" s="738">
        <v>55398</v>
      </c>
      <c r="H31" s="738">
        <v>38905</v>
      </c>
      <c r="I31" s="738">
        <v>45650</v>
      </c>
      <c r="J31" s="738">
        <v>34877</v>
      </c>
      <c r="K31" s="738">
        <v>16002</v>
      </c>
      <c r="L31" s="738">
        <v>18202</v>
      </c>
      <c r="M31" s="738">
        <v>26166</v>
      </c>
      <c r="N31" s="738">
        <v>30858</v>
      </c>
      <c r="O31" s="739">
        <v>34862</v>
      </c>
      <c r="P31" s="249">
        <f t="shared" si="1"/>
        <v>0.129755654935511</v>
      </c>
      <c r="Q31" s="689">
        <v>1288</v>
      </c>
      <c r="R31" s="687">
        <v>1563</v>
      </c>
      <c r="S31" s="687">
        <v>1329</v>
      </c>
      <c r="T31" s="687">
        <v>1398</v>
      </c>
      <c r="U31" s="687">
        <v>1048</v>
      </c>
      <c r="V31" s="687">
        <v>847</v>
      </c>
      <c r="W31" s="687">
        <v>745</v>
      </c>
      <c r="X31" s="687">
        <v>651</v>
      </c>
      <c r="Y31" s="687">
        <v>336</v>
      </c>
      <c r="Z31" s="687">
        <v>345</v>
      </c>
      <c r="AA31" s="687">
        <v>565</v>
      </c>
      <c r="AB31" s="687">
        <v>577</v>
      </c>
      <c r="AC31" s="688">
        <v>549</v>
      </c>
      <c r="AD31" s="249">
        <f t="shared" si="4"/>
        <v>-0.048526863084922045</v>
      </c>
      <c r="AE31" s="689">
        <v>3399</v>
      </c>
      <c r="AF31" s="687">
        <v>3787</v>
      </c>
      <c r="AG31" s="687">
        <v>4082</v>
      </c>
      <c r="AH31" s="687">
        <v>4247</v>
      </c>
      <c r="AI31" s="687">
        <v>4486</v>
      </c>
      <c r="AJ31" s="687">
        <v>2364</v>
      </c>
      <c r="AK31" s="687">
        <v>2389</v>
      </c>
      <c r="AL31" s="687">
        <v>2088</v>
      </c>
      <c r="AM31" s="687">
        <v>1558</v>
      </c>
      <c r="AN31" s="687">
        <v>2049</v>
      </c>
      <c r="AO31" s="687">
        <v>2563</v>
      </c>
      <c r="AP31" s="687">
        <v>3464</v>
      </c>
      <c r="AQ31" s="688">
        <v>4008</v>
      </c>
      <c r="AR31" s="937">
        <f t="shared" si="6"/>
        <v>0.15704387990762125</v>
      </c>
      <c r="AS31" s="455" t="s">
        <v>70</v>
      </c>
    </row>
    <row r="32" spans="1:45" ht="12.75" customHeight="1">
      <c r="A32" s="8"/>
      <c r="B32" s="228" t="s">
        <v>54</v>
      </c>
      <c r="C32" s="725"/>
      <c r="D32" s="726"/>
      <c r="E32" s="727">
        <v>30508</v>
      </c>
      <c r="F32" s="727">
        <v>33229</v>
      </c>
      <c r="G32" s="727">
        <v>36414</v>
      </c>
      <c r="H32" s="727">
        <v>14086</v>
      </c>
      <c r="I32" s="727">
        <v>9238</v>
      </c>
      <c r="J32" s="727">
        <v>10531</v>
      </c>
      <c r="K32" s="727">
        <v>10741</v>
      </c>
      <c r="L32" s="727">
        <v>8880</v>
      </c>
      <c r="M32" s="727">
        <v>10218</v>
      </c>
      <c r="N32" s="727">
        <v>11356</v>
      </c>
      <c r="O32" s="734">
        <v>14372</v>
      </c>
      <c r="P32" s="242">
        <f t="shared" si="1"/>
        <v>0.26558647411060243</v>
      </c>
      <c r="Q32" s="669"/>
      <c r="R32" s="666"/>
      <c r="S32" s="666">
        <v>3612</v>
      </c>
      <c r="T32" s="666">
        <v>3468</v>
      </c>
      <c r="U32" s="666">
        <v>3744</v>
      </c>
      <c r="V32" s="666">
        <v>973</v>
      </c>
      <c r="W32" s="666">
        <v>746</v>
      </c>
      <c r="X32" s="666">
        <v>561</v>
      </c>
      <c r="Y32" s="666">
        <v>776</v>
      </c>
      <c r="Z32" s="666">
        <v>299</v>
      </c>
      <c r="AA32" s="666">
        <v>488</v>
      </c>
      <c r="AB32" s="666">
        <v>347</v>
      </c>
      <c r="AC32" s="677">
        <v>402</v>
      </c>
      <c r="AD32" s="242">
        <f t="shared" si="4"/>
        <v>0.1585014409221901</v>
      </c>
      <c r="AE32" s="669"/>
      <c r="AF32" s="666"/>
      <c r="AG32" s="666">
        <v>4170</v>
      </c>
      <c r="AH32" s="666">
        <v>11511</v>
      </c>
      <c r="AI32" s="666">
        <v>8762</v>
      </c>
      <c r="AJ32" s="666">
        <v>1619</v>
      </c>
      <c r="AK32" s="666">
        <v>2160</v>
      </c>
      <c r="AL32" s="666">
        <v>1574</v>
      </c>
      <c r="AM32" s="666">
        <v>2702</v>
      </c>
      <c r="AN32" s="666">
        <v>3032</v>
      </c>
      <c r="AO32" s="666">
        <v>3698</v>
      </c>
      <c r="AP32" s="666">
        <v>5778</v>
      </c>
      <c r="AQ32" s="677">
        <v>7630</v>
      </c>
      <c r="AR32" s="935">
        <f t="shared" si="6"/>
        <v>0.32052613361024584</v>
      </c>
      <c r="AS32" s="229" t="s">
        <v>54</v>
      </c>
    </row>
    <row r="33" spans="1:45" ht="12.75" customHeight="1">
      <c r="A33" s="8"/>
      <c r="B33" s="453" t="s">
        <v>56</v>
      </c>
      <c r="C33" s="736">
        <v>6998</v>
      </c>
      <c r="D33" s="737">
        <v>6881</v>
      </c>
      <c r="E33" s="738">
        <v>6048</v>
      </c>
      <c r="F33" s="738">
        <v>6813</v>
      </c>
      <c r="G33" s="738">
        <v>7282</v>
      </c>
      <c r="H33" s="738">
        <v>4426</v>
      </c>
      <c r="I33" s="738">
        <v>4703</v>
      </c>
      <c r="J33" s="738">
        <v>5753</v>
      </c>
      <c r="K33" s="738">
        <v>5760</v>
      </c>
      <c r="L33" s="738">
        <v>6165</v>
      </c>
      <c r="M33" s="738">
        <v>6318</v>
      </c>
      <c r="N33" s="738">
        <v>6639</v>
      </c>
      <c r="O33" s="739">
        <v>7738</v>
      </c>
      <c r="P33" s="249">
        <f t="shared" si="1"/>
        <v>0.16553697846061155</v>
      </c>
      <c r="Q33" s="689">
        <v>408</v>
      </c>
      <c r="R33" s="687">
        <v>346</v>
      </c>
      <c r="S33" s="687">
        <v>383</v>
      </c>
      <c r="T33" s="687">
        <v>391</v>
      </c>
      <c r="U33" s="687">
        <v>401</v>
      </c>
      <c r="V33" s="687">
        <v>227</v>
      </c>
      <c r="W33" s="687">
        <v>201</v>
      </c>
      <c r="X33" s="687">
        <v>173</v>
      </c>
      <c r="Y33" s="687">
        <v>158</v>
      </c>
      <c r="Z33" s="687">
        <v>132</v>
      </c>
      <c r="AA33" s="687">
        <v>149</v>
      </c>
      <c r="AB33" s="687">
        <v>164</v>
      </c>
      <c r="AC33" s="688">
        <v>184</v>
      </c>
      <c r="AD33" s="249">
        <f t="shared" si="4"/>
        <v>0.12195121951219523</v>
      </c>
      <c r="AE33" s="689">
        <v>1066</v>
      </c>
      <c r="AF33" s="687">
        <v>1305</v>
      </c>
      <c r="AG33" s="687">
        <v>1679</v>
      </c>
      <c r="AH33" s="687">
        <v>2326</v>
      </c>
      <c r="AI33" s="687">
        <v>2175</v>
      </c>
      <c r="AJ33" s="687">
        <v>531</v>
      </c>
      <c r="AK33" s="687">
        <v>682</v>
      </c>
      <c r="AL33" s="687">
        <v>1209</v>
      </c>
      <c r="AM33" s="687">
        <v>939</v>
      </c>
      <c r="AN33" s="687">
        <v>1063</v>
      </c>
      <c r="AO33" s="687">
        <v>1343</v>
      </c>
      <c r="AP33" s="687">
        <v>1743</v>
      </c>
      <c r="AQ33" s="688">
        <v>2208</v>
      </c>
      <c r="AR33" s="937">
        <f t="shared" si="6"/>
        <v>0.26678141135972466</v>
      </c>
      <c r="AS33" s="455" t="s">
        <v>56</v>
      </c>
    </row>
    <row r="34" spans="1:45" ht="12.75" customHeight="1">
      <c r="A34" s="8"/>
      <c r="B34" s="228" t="s">
        <v>55</v>
      </c>
      <c r="C34" s="725">
        <v>10204</v>
      </c>
      <c r="D34" s="726">
        <v>14425</v>
      </c>
      <c r="E34" s="727">
        <v>19502</v>
      </c>
      <c r="F34" s="727">
        <v>23618</v>
      </c>
      <c r="G34" s="727">
        <v>26900</v>
      </c>
      <c r="H34" s="727">
        <v>15709</v>
      </c>
      <c r="I34" s="727">
        <v>6952</v>
      </c>
      <c r="J34" s="727">
        <v>5716</v>
      </c>
      <c r="K34" s="727">
        <v>5165</v>
      </c>
      <c r="L34" s="727">
        <v>5076</v>
      </c>
      <c r="M34" s="727">
        <v>5628</v>
      </c>
      <c r="N34" s="727">
        <v>7289</v>
      </c>
      <c r="O34" s="734">
        <v>7459</v>
      </c>
      <c r="P34" s="242">
        <f t="shared" si="1"/>
        <v>0.02332281520098789</v>
      </c>
      <c r="Q34" s="669">
        <v>774</v>
      </c>
      <c r="R34" s="666">
        <v>936</v>
      </c>
      <c r="S34" s="666">
        <v>948</v>
      </c>
      <c r="T34" s="666">
        <v>1083</v>
      </c>
      <c r="U34" s="666">
        <v>1075</v>
      </c>
      <c r="V34" s="666">
        <v>473</v>
      </c>
      <c r="W34" s="666">
        <v>505</v>
      </c>
      <c r="X34" s="666">
        <v>596</v>
      </c>
      <c r="Y34" s="666">
        <v>537</v>
      </c>
      <c r="Z34" s="666">
        <v>454</v>
      </c>
      <c r="AA34" s="987">
        <v>448</v>
      </c>
      <c r="AB34" s="666">
        <v>368</v>
      </c>
      <c r="AC34" s="677">
        <v>474</v>
      </c>
      <c r="AD34" s="242">
        <f t="shared" si="4"/>
        <v>0.2880434782608696</v>
      </c>
      <c r="AE34" s="669">
        <v>2075</v>
      </c>
      <c r="AF34" s="666">
        <v>2821</v>
      </c>
      <c r="AG34" s="666">
        <v>3465</v>
      </c>
      <c r="AH34" s="666">
        <v>4360</v>
      </c>
      <c r="AI34" s="666">
        <v>3767</v>
      </c>
      <c r="AJ34" s="666">
        <v>1188</v>
      </c>
      <c r="AK34" s="666">
        <v>1946</v>
      </c>
      <c r="AL34" s="666">
        <v>3211</v>
      </c>
      <c r="AM34" s="666">
        <v>2996</v>
      </c>
      <c r="AN34" s="666">
        <v>3429</v>
      </c>
      <c r="AO34" s="987">
        <v>3201</v>
      </c>
      <c r="AP34" s="666">
        <v>4079</v>
      </c>
      <c r="AQ34" s="677">
        <v>4138</v>
      </c>
      <c r="AR34" s="935">
        <f t="shared" si="6"/>
        <v>0.014464329492522632</v>
      </c>
      <c r="AS34" s="229" t="s">
        <v>55</v>
      </c>
    </row>
    <row r="35" spans="1:45" ht="12.75" customHeight="1">
      <c r="A35" s="8"/>
      <c r="B35" s="453" t="s">
        <v>71</v>
      </c>
      <c r="C35" s="736">
        <v>17068</v>
      </c>
      <c r="D35" s="737">
        <v>15353</v>
      </c>
      <c r="E35" s="738">
        <v>16472</v>
      </c>
      <c r="F35" s="738">
        <v>17507</v>
      </c>
      <c r="G35" s="738">
        <v>16395</v>
      </c>
      <c r="H35" s="738">
        <v>8693</v>
      </c>
      <c r="I35" s="738">
        <v>10821</v>
      </c>
      <c r="J35" s="738">
        <v>14346</v>
      </c>
      <c r="K35" s="738">
        <v>11463</v>
      </c>
      <c r="L35" s="738">
        <v>10621</v>
      </c>
      <c r="M35" s="738">
        <v>10750</v>
      </c>
      <c r="N35" s="738">
        <v>11522</v>
      </c>
      <c r="O35" s="739">
        <v>13678</v>
      </c>
      <c r="P35" s="249">
        <f t="shared" si="1"/>
        <v>0.18712029161603883</v>
      </c>
      <c r="Q35" s="689">
        <v>1630</v>
      </c>
      <c r="R35" s="687">
        <v>1490</v>
      </c>
      <c r="S35" s="687">
        <v>1305</v>
      </c>
      <c r="T35" s="687">
        <v>1395</v>
      </c>
      <c r="U35" s="687">
        <v>1149</v>
      </c>
      <c r="V35" s="687">
        <v>991</v>
      </c>
      <c r="W35" s="687">
        <v>1011</v>
      </c>
      <c r="X35" s="687">
        <v>1085</v>
      </c>
      <c r="Y35" s="687">
        <v>853</v>
      </c>
      <c r="Z35" s="687">
        <v>767</v>
      </c>
      <c r="AA35" s="687">
        <v>575</v>
      </c>
      <c r="AB35" s="687">
        <v>548</v>
      </c>
      <c r="AC35" s="688">
        <v>651</v>
      </c>
      <c r="AD35" s="249">
        <f t="shared" si="4"/>
        <v>0.18795620437956195</v>
      </c>
      <c r="AE35" s="689">
        <v>2889</v>
      </c>
      <c r="AF35" s="687">
        <v>3112</v>
      </c>
      <c r="AG35" s="687">
        <v>2726</v>
      </c>
      <c r="AH35" s="687">
        <v>2779</v>
      </c>
      <c r="AI35" s="687">
        <v>3485</v>
      </c>
      <c r="AJ35" s="687">
        <v>2178</v>
      </c>
      <c r="AK35" s="687">
        <v>1867</v>
      </c>
      <c r="AL35" s="687">
        <v>2345</v>
      </c>
      <c r="AM35" s="687">
        <v>2399</v>
      </c>
      <c r="AN35" s="687">
        <v>2720</v>
      </c>
      <c r="AO35" s="687">
        <v>1947</v>
      </c>
      <c r="AP35" s="687">
        <v>2122</v>
      </c>
      <c r="AQ35" s="688">
        <v>2598</v>
      </c>
      <c r="AR35" s="937">
        <f>AQ35/AP35-1</f>
        <v>0.2243166823751177</v>
      </c>
      <c r="AS35" s="455" t="s">
        <v>71</v>
      </c>
    </row>
    <row r="36" spans="1:45" ht="12.75" customHeight="1">
      <c r="A36" s="8"/>
      <c r="B36" s="228" t="s">
        <v>72</v>
      </c>
      <c r="C36" s="725">
        <v>31002</v>
      </c>
      <c r="D36" s="726">
        <v>34789</v>
      </c>
      <c r="E36" s="727">
        <v>39618</v>
      </c>
      <c r="F36" s="727">
        <v>44222</v>
      </c>
      <c r="G36" s="727">
        <v>39269</v>
      </c>
      <c r="H36" s="727">
        <v>27432</v>
      </c>
      <c r="I36" s="727">
        <v>37778</v>
      </c>
      <c r="J36" s="727">
        <v>46280</v>
      </c>
      <c r="K36" s="727">
        <v>39294</v>
      </c>
      <c r="L36" s="727">
        <v>37370</v>
      </c>
      <c r="M36" s="727">
        <v>41935</v>
      </c>
      <c r="N36" s="727">
        <v>44799</v>
      </c>
      <c r="O36" s="734">
        <v>51647</v>
      </c>
      <c r="P36" s="242">
        <f t="shared" si="1"/>
        <v>0.15286055492310102</v>
      </c>
      <c r="Q36" s="669">
        <v>836</v>
      </c>
      <c r="R36" s="666">
        <v>1255</v>
      </c>
      <c r="S36" s="666">
        <v>866</v>
      </c>
      <c r="T36" s="666">
        <v>988</v>
      </c>
      <c r="U36" s="666">
        <v>1036</v>
      </c>
      <c r="V36" s="666">
        <v>714</v>
      </c>
      <c r="W36" s="666">
        <v>759</v>
      </c>
      <c r="X36" s="666">
        <v>934</v>
      </c>
      <c r="Y36" s="666">
        <v>464</v>
      </c>
      <c r="Z36" s="666">
        <v>363</v>
      </c>
      <c r="AA36" s="666">
        <v>527</v>
      </c>
      <c r="AB36" s="666">
        <v>607</v>
      </c>
      <c r="AC36" s="677">
        <v>560</v>
      </c>
      <c r="AD36" s="242">
        <f t="shared" si="4"/>
        <v>-0.07742998352553543</v>
      </c>
      <c r="AE36" s="669">
        <v>4400</v>
      </c>
      <c r="AF36" s="666">
        <v>5763</v>
      </c>
      <c r="AG36" s="666">
        <v>5362</v>
      </c>
      <c r="AH36" s="666">
        <v>5722</v>
      </c>
      <c r="AI36" s="666">
        <v>5962</v>
      </c>
      <c r="AJ36" s="666">
        <v>4783</v>
      </c>
      <c r="AK36" s="666">
        <v>4076</v>
      </c>
      <c r="AL36" s="666">
        <v>5018</v>
      </c>
      <c r="AM36" s="666">
        <v>5100</v>
      </c>
      <c r="AN36" s="666">
        <v>4505</v>
      </c>
      <c r="AO36" s="666">
        <v>4722</v>
      </c>
      <c r="AP36" s="666">
        <v>4849</v>
      </c>
      <c r="AQ36" s="677">
        <v>5960</v>
      </c>
      <c r="AR36" s="935">
        <f t="shared" si="6"/>
        <v>0.22911940606310588</v>
      </c>
      <c r="AS36" s="229" t="s">
        <v>72</v>
      </c>
    </row>
    <row r="37" spans="1:45" ht="12.75" customHeight="1">
      <c r="A37" s="8"/>
      <c r="B37" s="456" t="s">
        <v>61</v>
      </c>
      <c r="C37" s="740">
        <v>322901</v>
      </c>
      <c r="D37" s="741">
        <v>325372</v>
      </c>
      <c r="E37" s="742">
        <v>322338</v>
      </c>
      <c r="F37" s="742">
        <v>333339</v>
      </c>
      <c r="G37" s="742">
        <v>287158</v>
      </c>
      <c r="H37" s="742">
        <v>185317</v>
      </c>
      <c r="I37" s="742">
        <v>221877</v>
      </c>
      <c r="J37" s="742">
        <v>259532</v>
      </c>
      <c r="K37" s="742">
        <v>238782</v>
      </c>
      <c r="L37" s="742">
        <v>270238</v>
      </c>
      <c r="M37" s="742">
        <v>320909</v>
      </c>
      <c r="N37" s="742">
        <v>371123</v>
      </c>
      <c r="O37" s="743">
        <v>374889</v>
      </c>
      <c r="P37" s="462">
        <f t="shared" si="1"/>
        <v>0.010147579104501814</v>
      </c>
      <c r="Q37" s="695">
        <v>20551</v>
      </c>
      <c r="R37" s="693">
        <v>24833</v>
      </c>
      <c r="S37" s="693">
        <v>18329</v>
      </c>
      <c r="T37" s="693">
        <v>17519</v>
      </c>
      <c r="U37" s="693">
        <v>18615</v>
      </c>
      <c r="V37" s="693">
        <v>12493</v>
      </c>
      <c r="W37" s="693">
        <v>11103</v>
      </c>
      <c r="X37" s="693">
        <v>12185</v>
      </c>
      <c r="Y37" s="693">
        <v>13339</v>
      </c>
      <c r="Z37" s="693">
        <v>15196</v>
      </c>
      <c r="AA37" s="693">
        <v>11011</v>
      </c>
      <c r="AB37" s="693">
        <v>11652</v>
      </c>
      <c r="AC37" s="694">
        <v>7739</v>
      </c>
      <c r="AD37" s="462">
        <f t="shared" si="4"/>
        <v>-0.3358221764503948</v>
      </c>
      <c r="AE37" s="695">
        <v>34002</v>
      </c>
      <c r="AF37" s="693">
        <v>38205</v>
      </c>
      <c r="AG37" s="693">
        <v>34532</v>
      </c>
      <c r="AH37" s="693">
        <v>29328</v>
      </c>
      <c r="AI37" s="693">
        <v>35094</v>
      </c>
      <c r="AJ37" s="693">
        <v>19326</v>
      </c>
      <c r="AK37" s="693">
        <v>20301</v>
      </c>
      <c r="AL37" s="693">
        <v>28940</v>
      </c>
      <c r="AM37" s="693">
        <v>29023</v>
      </c>
      <c r="AN37" s="693">
        <v>37987</v>
      </c>
      <c r="AO37" s="693">
        <v>27604</v>
      </c>
      <c r="AP37" s="693">
        <v>36238</v>
      </c>
      <c r="AQ37" s="694">
        <v>16939</v>
      </c>
      <c r="AR37" s="939">
        <f t="shared" si="6"/>
        <v>-0.5325625034494177</v>
      </c>
      <c r="AS37" s="458" t="s">
        <v>61</v>
      </c>
    </row>
    <row r="38" spans="1:45" ht="12.75" customHeight="1">
      <c r="A38" s="8"/>
      <c r="B38" s="228" t="s">
        <v>43</v>
      </c>
      <c r="C38" s="725">
        <v>1627</v>
      </c>
      <c r="D38" s="744">
        <v>2172</v>
      </c>
      <c r="E38" s="728">
        <v>2490</v>
      </c>
      <c r="F38" s="728">
        <v>2782</v>
      </c>
      <c r="G38" s="728">
        <v>1227</v>
      </c>
      <c r="H38" s="728">
        <v>302</v>
      </c>
      <c r="I38" s="728">
        <v>220</v>
      </c>
      <c r="J38" s="728">
        <v>344</v>
      </c>
      <c r="K38" s="728">
        <v>417</v>
      </c>
      <c r="L38" s="728">
        <v>583</v>
      </c>
      <c r="M38" s="728">
        <v>854</v>
      </c>
      <c r="N38" s="728">
        <v>1269</v>
      </c>
      <c r="O38" s="729">
        <v>1624</v>
      </c>
      <c r="P38" s="240">
        <f t="shared" si="1"/>
        <v>0.27974783293932237</v>
      </c>
      <c r="Q38" s="670">
        <v>119</v>
      </c>
      <c r="R38" s="667">
        <v>324</v>
      </c>
      <c r="S38" s="667">
        <v>198</v>
      </c>
      <c r="T38" s="667">
        <v>234</v>
      </c>
      <c r="U38" s="667">
        <v>97</v>
      </c>
      <c r="V38" s="667">
        <v>18</v>
      </c>
      <c r="W38" s="667">
        <v>15</v>
      </c>
      <c r="X38" s="667">
        <v>17</v>
      </c>
      <c r="Y38" s="667">
        <v>29</v>
      </c>
      <c r="Z38" s="667">
        <v>39</v>
      </c>
      <c r="AA38" s="667">
        <v>54</v>
      </c>
      <c r="AB38" s="667">
        <v>104</v>
      </c>
      <c r="AC38" s="668">
        <v>132</v>
      </c>
      <c r="AD38" s="240">
        <f t="shared" si="4"/>
        <v>0.26923076923076916</v>
      </c>
      <c r="AE38" s="670">
        <v>181</v>
      </c>
      <c r="AF38" s="667">
        <v>314</v>
      </c>
      <c r="AG38" s="667">
        <v>325</v>
      </c>
      <c r="AH38" s="667">
        <v>301</v>
      </c>
      <c r="AI38" s="667">
        <v>178</v>
      </c>
      <c r="AJ38" s="667">
        <v>30</v>
      </c>
      <c r="AK38" s="667">
        <v>26</v>
      </c>
      <c r="AL38" s="667">
        <v>29</v>
      </c>
      <c r="AM38" s="667">
        <v>57</v>
      </c>
      <c r="AN38" s="667">
        <v>52</v>
      </c>
      <c r="AO38" s="667">
        <v>84</v>
      </c>
      <c r="AP38" s="667">
        <v>116</v>
      </c>
      <c r="AQ38" s="668">
        <v>186</v>
      </c>
      <c r="AR38" s="940">
        <f t="shared" si="6"/>
        <v>0.603448275862069</v>
      </c>
      <c r="AS38" s="229" t="s">
        <v>43</v>
      </c>
    </row>
    <row r="39" spans="1:45" ht="12.75" customHeight="1">
      <c r="A39" s="8"/>
      <c r="B39" s="453" t="s">
        <v>73</v>
      </c>
      <c r="C39" s="736">
        <v>31114</v>
      </c>
      <c r="D39" s="737">
        <v>35185</v>
      </c>
      <c r="E39" s="738">
        <v>42611</v>
      </c>
      <c r="F39" s="738">
        <v>45609</v>
      </c>
      <c r="G39" s="738">
        <v>34870</v>
      </c>
      <c r="H39" s="738">
        <v>23504</v>
      </c>
      <c r="I39" s="738">
        <v>29040</v>
      </c>
      <c r="J39" s="738">
        <v>35513</v>
      </c>
      <c r="K39" s="738">
        <v>31848</v>
      </c>
      <c r="L39" s="738">
        <v>30854</v>
      </c>
      <c r="M39" s="738">
        <v>29613</v>
      </c>
      <c r="N39" s="738">
        <v>33235</v>
      </c>
      <c r="O39" s="739">
        <v>36002</v>
      </c>
      <c r="P39" s="249">
        <f t="shared" si="1"/>
        <v>0.08325560403189414</v>
      </c>
      <c r="Q39" s="689">
        <v>3340</v>
      </c>
      <c r="R39" s="687">
        <v>3037</v>
      </c>
      <c r="S39" s="687">
        <v>1801</v>
      </c>
      <c r="T39" s="687">
        <v>1670</v>
      </c>
      <c r="U39" s="687">
        <v>1869</v>
      </c>
      <c r="V39" s="687">
        <v>1276</v>
      </c>
      <c r="W39" s="687">
        <v>1553</v>
      </c>
      <c r="X39" s="687">
        <v>1842</v>
      </c>
      <c r="Y39" s="687">
        <v>1780</v>
      </c>
      <c r="Z39" s="687">
        <v>1732</v>
      </c>
      <c r="AA39" s="687">
        <v>1337</v>
      </c>
      <c r="AB39" s="687">
        <v>1321</v>
      </c>
      <c r="AC39" s="688">
        <v>1610</v>
      </c>
      <c r="AD39" s="249">
        <f t="shared" si="4"/>
        <v>0.218773656320969</v>
      </c>
      <c r="AE39" s="689">
        <v>3017</v>
      </c>
      <c r="AF39" s="687">
        <v>4459</v>
      </c>
      <c r="AG39" s="687">
        <v>3988</v>
      </c>
      <c r="AH39" s="687">
        <v>4591</v>
      </c>
      <c r="AI39" s="687">
        <v>4659</v>
      </c>
      <c r="AJ39" s="687">
        <v>2822</v>
      </c>
      <c r="AK39" s="687">
        <v>2525</v>
      </c>
      <c r="AL39" s="687">
        <v>3268</v>
      </c>
      <c r="AM39" s="687">
        <v>4013</v>
      </c>
      <c r="AN39" s="687">
        <v>4046</v>
      </c>
      <c r="AO39" s="687">
        <v>4106</v>
      </c>
      <c r="AP39" s="687">
        <v>3894</v>
      </c>
      <c r="AQ39" s="688">
        <v>4378</v>
      </c>
      <c r="AR39" s="937">
        <f t="shared" si="6"/>
        <v>0.12429378531073443</v>
      </c>
      <c r="AS39" s="455" t="s">
        <v>73</v>
      </c>
    </row>
    <row r="40" spans="1:45" ht="12.75" customHeight="1">
      <c r="A40" s="8"/>
      <c r="B40" s="230" t="s">
        <v>44</v>
      </c>
      <c r="C40" s="745">
        <v>20602</v>
      </c>
      <c r="D40" s="746">
        <v>22254</v>
      </c>
      <c r="E40" s="747">
        <v>23015</v>
      </c>
      <c r="F40" s="747">
        <v>25386</v>
      </c>
      <c r="G40" s="747">
        <v>26275</v>
      </c>
      <c r="H40" s="747">
        <v>23110</v>
      </c>
      <c r="I40" s="747">
        <v>25697</v>
      </c>
      <c r="J40" s="747">
        <v>30387</v>
      </c>
      <c r="K40" s="747">
        <v>32509</v>
      </c>
      <c r="L40" s="747">
        <v>31199</v>
      </c>
      <c r="M40" s="747">
        <v>31113</v>
      </c>
      <c r="N40" s="747">
        <v>33526</v>
      </c>
      <c r="O40" s="748">
        <v>33250</v>
      </c>
      <c r="P40" s="243">
        <f t="shared" si="1"/>
        <v>-0.0082324166318678</v>
      </c>
      <c r="Q40" s="698">
        <v>921</v>
      </c>
      <c r="R40" s="696">
        <v>1058</v>
      </c>
      <c r="S40" s="696">
        <v>1095</v>
      </c>
      <c r="T40" s="696">
        <v>1106</v>
      </c>
      <c r="U40" s="696">
        <v>1287</v>
      </c>
      <c r="V40" s="696">
        <v>1150</v>
      </c>
      <c r="W40" s="696">
        <v>1003</v>
      </c>
      <c r="X40" s="696">
        <v>1205</v>
      </c>
      <c r="Y40" s="696">
        <v>1237</v>
      </c>
      <c r="Z40" s="696">
        <v>1005</v>
      </c>
      <c r="AA40" s="696">
        <v>990</v>
      </c>
      <c r="AB40" s="696">
        <v>1026</v>
      </c>
      <c r="AC40" s="697">
        <v>1138</v>
      </c>
      <c r="AD40" s="243">
        <f t="shared" si="4"/>
        <v>0.10916179337231968</v>
      </c>
      <c r="AE40" s="698">
        <v>2708</v>
      </c>
      <c r="AF40" s="696">
        <v>3390</v>
      </c>
      <c r="AG40" s="696">
        <v>3746</v>
      </c>
      <c r="AH40" s="696">
        <v>3290</v>
      </c>
      <c r="AI40" s="696">
        <v>3876</v>
      </c>
      <c r="AJ40" s="696">
        <v>3292</v>
      </c>
      <c r="AK40" s="696">
        <v>2601</v>
      </c>
      <c r="AL40" s="696">
        <v>3275</v>
      </c>
      <c r="AM40" s="696">
        <v>2984</v>
      </c>
      <c r="AN40" s="696">
        <v>2843</v>
      </c>
      <c r="AO40" s="696">
        <v>3754</v>
      </c>
      <c r="AP40" s="696">
        <v>3390</v>
      </c>
      <c r="AQ40" s="697">
        <v>3345</v>
      </c>
      <c r="AR40" s="941">
        <f t="shared" si="6"/>
        <v>-0.013274336283185861</v>
      </c>
      <c r="AS40" s="232" t="s">
        <v>44</v>
      </c>
    </row>
    <row r="41" spans="1:42" ht="15" customHeight="1">
      <c r="A41" s="8"/>
      <c r="B41" s="1050" t="s">
        <v>132</v>
      </c>
      <c r="C41" s="1051"/>
      <c r="D41" s="1051"/>
      <c r="E41" s="1051"/>
      <c r="F41" s="1051"/>
      <c r="G41" s="1051"/>
      <c r="H41" s="1051"/>
      <c r="I41" s="1051"/>
      <c r="J41" s="1051"/>
      <c r="K41" s="1051"/>
      <c r="L41" s="1051"/>
      <c r="M41" s="1051"/>
      <c r="N41" s="1051"/>
      <c r="O41" s="1051"/>
      <c r="P41" s="1051"/>
      <c r="Q41" s="1051"/>
      <c r="R41" s="1051"/>
      <c r="S41" s="1051"/>
      <c r="T41" s="1051"/>
      <c r="U41" s="1051"/>
      <c r="V41" s="1051"/>
      <c r="W41" s="1051"/>
      <c r="X41" s="1051"/>
      <c r="Y41" s="1051"/>
      <c r="Z41" s="1051"/>
      <c r="AA41" s="1051"/>
      <c r="AB41" s="1051"/>
      <c r="AC41" s="1051"/>
      <c r="AD41" s="1051"/>
      <c r="AE41" s="1051"/>
      <c r="AF41" s="1051"/>
      <c r="AG41" s="1051"/>
      <c r="AH41" s="1051"/>
      <c r="AI41" s="1051"/>
      <c r="AJ41" s="1051"/>
      <c r="AK41" s="1051"/>
      <c r="AL41" s="1051"/>
      <c r="AM41" s="1051"/>
      <c r="AN41" s="1051"/>
      <c r="AO41" s="1051"/>
      <c r="AP41" s="1051"/>
    </row>
    <row r="42" spans="1:21" ht="11.25" customHeight="1">
      <c r="A42" s="8"/>
      <c r="B42" s="244" t="s">
        <v>81</v>
      </c>
      <c r="U42" s="68"/>
    </row>
    <row r="43" spans="1:2" ht="11.25" customHeight="1">
      <c r="A43" s="8"/>
      <c r="B43" s="245" t="s">
        <v>139</v>
      </c>
    </row>
    <row r="44" ht="17.25" customHeight="1">
      <c r="B44" s="995" t="s">
        <v>261</v>
      </c>
    </row>
    <row r="46" ht="12.75">
      <c r="Q46" s="90"/>
    </row>
  </sheetData>
  <sheetProtection/>
  <mergeCells count="9">
    <mergeCell ref="B2:AP2"/>
    <mergeCell ref="B3:AP3"/>
    <mergeCell ref="B41:AP41"/>
    <mergeCell ref="C4:O4"/>
    <mergeCell ref="C5:O5"/>
    <mergeCell ref="Q4:AC4"/>
    <mergeCell ref="Q5:AC5"/>
    <mergeCell ref="AE4:AQ4"/>
    <mergeCell ref="AE5:AQ5"/>
  </mergeCells>
  <printOptions horizontalCentered="1"/>
  <pageMargins left="0.6692913385826772" right="0.6692913385826772" top="0.4" bottom="0.16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1"/>
  <dimension ref="A1:BD72"/>
  <sheetViews>
    <sheetView zoomScalePageLayoutView="0" workbookViewId="0" topLeftCell="A4">
      <selection activeCell="BM39" sqref="A36:BM39"/>
    </sheetView>
  </sheetViews>
  <sheetFormatPr defaultColWidth="9.140625" defaultRowHeight="12.75"/>
  <cols>
    <col min="1" max="1" width="3.7109375" style="0" customWidth="1"/>
    <col min="2" max="2" width="4.7109375" style="0" customWidth="1"/>
    <col min="3" max="6" width="6.7109375" style="0" customWidth="1"/>
    <col min="7" max="11" width="6.00390625" style="0" customWidth="1"/>
    <col min="12" max="12" width="7.28125" style="0" customWidth="1"/>
    <col min="13" max="13" width="7.28125" style="493" customWidth="1"/>
    <col min="14" max="14" width="7.28125" style="902" customWidth="1"/>
    <col min="15" max="24" width="6.7109375" style="0" customWidth="1"/>
    <col min="25" max="25" width="6.7109375" style="493" customWidth="1"/>
    <col min="26" max="26" width="6.7109375" style="902" customWidth="1"/>
    <col min="27" max="36" width="6.7109375" style="0" customWidth="1"/>
    <col min="37" max="37" width="6.7109375" style="493" customWidth="1"/>
    <col min="38" max="38" width="6.7109375" style="902" customWidth="1"/>
    <col min="39" max="48" width="6.7109375" style="0" customWidth="1"/>
    <col min="49" max="49" width="6.7109375" style="493" customWidth="1"/>
    <col min="50" max="50" width="6.7109375" style="902" customWidth="1"/>
    <col min="51" max="51" width="6.7109375" style="0" customWidth="1"/>
    <col min="52" max="52" width="6.28125" style="0" customWidth="1"/>
    <col min="53" max="55" width="9.140625" style="0" customWidth="1"/>
  </cols>
  <sheetData>
    <row r="1" spans="2:52" ht="14.25" customHeight="1">
      <c r="B1" s="30"/>
      <c r="C1" s="25"/>
      <c r="D1" s="25"/>
      <c r="E1" s="25"/>
      <c r="F1" s="25"/>
      <c r="G1" s="25"/>
      <c r="H1" s="25"/>
      <c r="I1" s="25"/>
      <c r="J1" s="25"/>
      <c r="K1" s="25"/>
      <c r="L1" s="25"/>
      <c r="M1" s="499"/>
      <c r="N1" s="499"/>
      <c r="O1" s="25"/>
      <c r="X1" s="25"/>
      <c r="Y1" s="499"/>
      <c r="Z1" s="499"/>
      <c r="AJ1" s="25"/>
      <c r="AK1" s="499"/>
      <c r="AL1" s="499"/>
      <c r="AZ1" s="31" t="s">
        <v>153</v>
      </c>
    </row>
    <row r="2" spans="2:52" s="44" customFormat="1" ht="30" customHeight="1">
      <c r="B2" s="1048" t="s">
        <v>13</v>
      </c>
      <c r="C2" s="1048"/>
      <c r="D2" s="1048"/>
      <c r="E2" s="1048"/>
      <c r="F2" s="1048"/>
      <c r="G2" s="1048"/>
      <c r="H2" s="1048"/>
      <c r="I2" s="1048"/>
      <c r="J2" s="1048"/>
      <c r="K2" s="1048"/>
      <c r="L2" s="1048"/>
      <c r="M2" s="1048"/>
      <c r="N2" s="1048"/>
      <c r="O2" s="1048"/>
      <c r="P2" s="1048"/>
      <c r="Q2" s="1048"/>
      <c r="R2" s="1048"/>
      <c r="S2" s="1048"/>
      <c r="T2" s="1048"/>
      <c r="U2" s="1048"/>
      <c r="V2" s="1048"/>
      <c r="W2" s="1048"/>
      <c r="X2" s="1048"/>
      <c r="Y2" s="1048"/>
      <c r="Z2" s="1048"/>
      <c r="AA2" s="1048"/>
      <c r="AB2" s="1048"/>
      <c r="AC2" s="1048"/>
      <c r="AD2" s="1048"/>
      <c r="AE2" s="1048"/>
      <c r="AF2" s="1048"/>
      <c r="AG2" s="1048"/>
      <c r="AH2" s="1048"/>
      <c r="AI2" s="1048"/>
      <c r="AJ2" s="1048"/>
      <c r="AK2" s="1048"/>
      <c r="AL2" s="1048"/>
      <c r="AM2" s="1048"/>
      <c r="AN2" s="1048"/>
      <c r="AO2" s="1048"/>
      <c r="AP2" s="1048"/>
      <c r="AQ2" s="1048"/>
      <c r="AR2" s="1048"/>
      <c r="AS2" s="1048"/>
      <c r="AT2" s="1048"/>
      <c r="AU2" s="1048"/>
      <c r="AV2" s="1048"/>
      <c r="AW2" s="1048"/>
      <c r="AX2" s="1048"/>
      <c r="AY2" s="1048"/>
      <c r="AZ2" s="1048"/>
    </row>
    <row r="3" spans="2:52" ht="18" customHeight="1">
      <c r="B3" s="1052" t="s">
        <v>91</v>
      </c>
      <c r="C3" s="1052"/>
      <c r="D3" s="1052"/>
      <c r="E3" s="1052"/>
      <c r="F3" s="1052"/>
      <c r="G3" s="1052"/>
      <c r="H3" s="1052"/>
      <c r="I3" s="1052"/>
      <c r="J3" s="1052"/>
      <c r="K3" s="1052"/>
      <c r="L3" s="1052"/>
      <c r="M3" s="1052"/>
      <c r="N3" s="1052"/>
      <c r="O3" s="1052"/>
      <c r="P3" s="1052"/>
      <c r="Q3" s="1052"/>
      <c r="R3" s="1052"/>
      <c r="S3" s="1052"/>
      <c r="T3" s="1052"/>
      <c r="U3" s="1052"/>
      <c r="V3" s="1052"/>
      <c r="W3" s="1052"/>
      <c r="X3" s="1052"/>
      <c r="Y3" s="1052"/>
      <c r="Z3" s="1052"/>
      <c r="AA3" s="1052"/>
      <c r="AB3" s="1052"/>
      <c r="AC3" s="1052"/>
      <c r="AD3" s="1052"/>
      <c r="AE3" s="1052"/>
      <c r="AF3" s="1052"/>
      <c r="AG3" s="1052"/>
      <c r="AH3" s="1052"/>
      <c r="AI3" s="1052"/>
      <c r="AJ3" s="1052"/>
      <c r="AK3" s="1052"/>
      <c r="AL3" s="1052"/>
      <c r="AM3" s="1052"/>
      <c r="AN3" s="1052"/>
      <c r="AO3" s="1052"/>
      <c r="AP3" s="1052"/>
      <c r="AQ3" s="1052"/>
      <c r="AR3" s="1052"/>
      <c r="AS3" s="1052"/>
      <c r="AT3" s="1052"/>
      <c r="AU3" s="1052"/>
      <c r="AV3" s="1052"/>
      <c r="AW3" s="1052"/>
      <c r="AX3" s="1052"/>
      <c r="AY3" s="1052"/>
      <c r="AZ3" s="1052"/>
    </row>
    <row r="4" spans="2:56" ht="61.5" customHeight="1">
      <c r="B4" s="110"/>
      <c r="C4" s="1053" t="s">
        <v>100</v>
      </c>
      <c r="D4" s="1054"/>
      <c r="E4" s="1054"/>
      <c r="F4" s="1054"/>
      <c r="G4" s="1054"/>
      <c r="H4" s="1054"/>
      <c r="I4" s="1054"/>
      <c r="J4" s="1054"/>
      <c r="K4" s="1054"/>
      <c r="L4" s="1054"/>
      <c r="M4" s="1054"/>
      <c r="N4" s="976"/>
      <c r="O4" s="929"/>
      <c r="P4" s="1053" t="s">
        <v>101</v>
      </c>
      <c r="Q4" s="1054"/>
      <c r="R4" s="1054"/>
      <c r="S4" s="1054"/>
      <c r="T4" s="1054"/>
      <c r="U4" s="1054"/>
      <c r="V4" s="1054"/>
      <c r="W4" s="1054"/>
      <c r="X4" s="1054"/>
      <c r="Y4" s="1054"/>
      <c r="Z4" s="1054"/>
      <c r="AA4" s="976"/>
      <c r="AB4" s="978"/>
      <c r="AC4" s="1053" t="s">
        <v>102</v>
      </c>
      <c r="AD4" s="1054"/>
      <c r="AE4" s="1054"/>
      <c r="AF4" s="1054"/>
      <c r="AG4" s="1054"/>
      <c r="AH4" s="1054"/>
      <c r="AI4" s="1054"/>
      <c r="AJ4" s="1054"/>
      <c r="AK4" s="1054"/>
      <c r="AL4" s="1054"/>
      <c r="AM4" s="927"/>
      <c r="AN4" s="976"/>
      <c r="AO4" s="929"/>
      <c r="AP4" s="1054" t="s">
        <v>78</v>
      </c>
      <c r="AQ4" s="1054"/>
      <c r="AR4" s="1054"/>
      <c r="AS4" s="1054"/>
      <c r="AT4" s="1054"/>
      <c r="AU4" s="1054"/>
      <c r="AV4" s="1054"/>
      <c r="AW4" s="1054"/>
      <c r="AX4" s="1054"/>
      <c r="AY4" s="1054"/>
      <c r="AZ4" s="1054"/>
      <c r="BA4" s="976"/>
      <c r="BB4" s="929"/>
      <c r="BC4" s="250" t="s">
        <v>2</v>
      </c>
      <c r="BD4" s="63"/>
    </row>
    <row r="5" spans="2:56" ht="12" customHeight="1">
      <c r="B5" s="110"/>
      <c r="C5" s="1060" t="s">
        <v>103</v>
      </c>
      <c r="D5" s="1059"/>
      <c r="E5" s="1059"/>
      <c r="F5" s="1059"/>
      <c r="G5" s="1059"/>
      <c r="H5" s="1059"/>
      <c r="I5" s="1059"/>
      <c r="J5" s="1059"/>
      <c r="K5" s="1059"/>
      <c r="L5" s="1059"/>
      <c r="M5" s="1059"/>
      <c r="N5" s="977"/>
      <c r="O5" s="930"/>
      <c r="P5" s="1060" t="s">
        <v>8</v>
      </c>
      <c r="Q5" s="1059"/>
      <c r="R5" s="1059"/>
      <c r="S5" s="1059"/>
      <c r="T5" s="1059"/>
      <c r="U5" s="1059"/>
      <c r="V5" s="1059"/>
      <c r="W5" s="1059"/>
      <c r="X5" s="1059"/>
      <c r="Y5" s="1059"/>
      <c r="Z5" s="1059"/>
      <c r="AA5" s="977"/>
      <c r="AB5" s="930"/>
      <c r="AC5" s="1060" t="s">
        <v>9</v>
      </c>
      <c r="AD5" s="1059"/>
      <c r="AE5" s="1059"/>
      <c r="AF5" s="1059"/>
      <c r="AG5" s="1059"/>
      <c r="AH5" s="1059"/>
      <c r="AI5" s="1059"/>
      <c r="AJ5" s="1059"/>
      <c r="AK5" s="1059"/>
      <c r="AL5" s="1059"/>
      <c r="AM5" s="928"/>
      <c r="AN5" s="977"/>
      <c r="AO5" s="930"/>
      <c r="AP5" s="247"/>
      <c r="AQ5" s="247"/>
      <c r="AR5" s="247"/>
      <c r="AS5" s="247"/>
      <c r="AT5" s="1059"/>
      <c r="AU5" s="1059"/>
      <c r="AV5" s="1059"/>
      <c r="AW5" s="1059"/>
      <c r="AX5" s="451"/>
      <c r="AY5" s="635"/>
      <c r="AZ5" s="928"/>
      <c r="BA5" s="977"/>
      <c r="BB5" s="930"/>
      <c r="BC5" s="251" t="s">
        <v>104</v>
      </c>
      <c r="BD5" s="63"/>
    </row>
    <row r="6" spans="2:56" ht="15" customHeight="1">
      <c r="B6" s="111"/>
      <c r="C6" s="45">
        <v>2004</v>
      </c>
      <c r="D6" s="46">
        <v>2005</v>
      </c>
      <c r="E6" s="46">
        <v>2006</v>
      </c>
      <c r="F6" s="46">
        <v>2007</v>
      </c>
      <c r="G6" s="46">
        <v>2008</v>
      </c>
      <c r="H6" s="46">
        <v>2009</v>
      </c>
      <c r="I6" s="46">
        <v>2010</v>
      </c>
      <c r="J6" s="46">
        <v>2011</v>
      </c>
      <c r="K6" s="46">
        <v>2012</v>
      </c>
      <c r="L6" s="46">
        <v>2013</v>
      </c>
      <c r="M6" s="46">
        <v>2014</v>
      </c>
      <c r="N6" s="46">
        <v>2015</v>
      </c>
      <c r="O6" s="47">
        <v>2016</v>
      </c>
      <c r="P6" s="45">
        <v>2004</v>
      </c>
      <c r="Q6" s="46">
        <v>2005</v>
      </c>
      <c r="R6" s="46">
        <v>2006</v>
      </c>
      <c r="S6" s="46">
        <v>2007</v>
      </c>
      <c r="T6" s="46">
        <v>2008</v>
      </c>
      <c r="U6" s="46">
        <v>2009</v>
      </c>
      <c r="V6" s="46">
        <v>2010</v>
      </c>
      <c r="W6" s="46">
        <v>2011</v>
      </c>
      <c r="X6" s="46">
        <v>2012</v>
      </c>
      <c r="Y6" s="46">
        <v>2013</v>
      </c>
      <c r="Z6" s="46">
        <v>2014</v>
      </c>
      <c r="AA6" s="46">
        <v>2015</v>
      </c>
      <c r="AB6" s="47">
        <v>2016</v>
      </c>
      <c r="AC6" s="45">
        <v>2004</v>
      </c>
      <c r="AD6" s="46">
        <v>2005</v>
      </c>
      <c r="AE6" s="46">
        <v>2006</v>
      </c>
      <c r="AF6" s="46">
        <v>2007</v>
      </c>
      <c r="AG6" s="46">
        <v>2008</v>
      </c>
      <c r="AH6" s="46">
        <v>2009</v>
      </c>
      <c r="AI6" s="46">
        <v>2010</v>
      </c>
      <c r="AJ6" s="46">
        <v>2011</v>
      </c>
      <c r="AK6" s="46">
        <v>2012</v>
      </c>
      <c r="AL6" s="46">
        <v>2013</v>
      </c>
      <c r="AM6" s="46">
        <v>2014</v>
      </c>
      <c r="AN6" s="46">
        <v>2015</v>
      </c>
      <c r="AO6" s="47">
        <v>2016</v>
      </c>
      <c r="AP6" s="46">
        <v>2004</v>
      </c>
      <c r="AQ6" s="46">
        <v>2005</v>
      </c>
      <c r="AR6" s="46">
        <v>2006</v>
      </c>
      <c r="AS6" s="46">
        <v>2007</v>
      </c>
      <c r="AT6" s="46">
        <v>2008</v>
      </c>
      <c r="AU6" s="46">
        <v>2009</v>
      </c>
      <c r="AV6" s="96">
        <v>2010</v>
      </c>
      <c r="AW6" s="96">
        <v>2011</v>
      </c>
      <c r="AX6" s="46">
        <v>2012</v>
      </c>
      <c r="AY6" s="46">
        <v>2013</v>
      </c>
      <c r="AZ6" s="46">
        <v>2014</v>
      </c>
      <c r="BA6" s="46">
        <v>2015</v>
      </c>
      <c r="BB6" s="47">
        <v>2016</v>
      </c>
      <c r="BC6" s="252" t="s">
        <v>256</v>
      </c>
      <c r="BD6" s="6"/>
    </row>
    <row r="7" spans="2:56" ht="12.75" customHeight="1">
      <c r="B7" s="57" t="s">
        <v>222</v>
      </c>
      <c r="C7" s="699"/>
      <c r="D7" s="656"/>
      <c r="E7" s="656"/>
      <c r="F7" s="656"/>
      <c r="G7" s="656"/>
      <c r="H7" s="656"/>
      <c r="I7" s="656"/>
      <c r="J7" s="656"/>
      <c r="K7" s="656"/>
      <c r="L7" s="656"/>
      <c r="M7" s="656"/>
      <c r="N7" s="656"/>
      <c r="O7" s="700"/>
      <c r="P7" s="699"/>
      <c r="Q7" s="656"/>
      <c r="R7" s="656"/>
      <c r="S7" s="656"/>
      <c r="T7" s="656"/>
      <c r="U7" s="656"/>
      <c r="V7" s="656"/>
      <c r="W7" s="656"/>
      <c r="X7" s="656"/>
      <c r="Y7" s="656"/>
      <c r="Z7" s="656"/>
      <c r="AA7" s="656"/>
      <c r="AB7" s="700"/>
      <c r="AC7" s="699"/>
      <c r="AD7" s="656"/>
      <c r="AE7" s="656"/>
      <c r="AF7" s="656"/>
      <c r="AG7" s="656"/>
      <c r="AH7" s="656"/>
      <c r="AI7" s="656"/>
      <c r="AJ7" s="656"/>
      <c r="AK7" s="656"/>
      <c r="AL7" s="656"/>
      <c r="AM7" s="656"/>
      <c r="AN7" s="656"/>
      <c r="AO7" s="700"/>
      <c r="AP7" s="656"/>
      <c r="AQ7" s="656"/>
      <c r="AR7" s="656">
        <f>SUM(AR10:AR37)</f>
        <v>52685</v>
      </c>
      <c r="AS7" s="656">
        <f>SUM(AS10:AS37)</f>
        <v>55584</v>
      </c>
      <c r="AT7" s="656">
        <f>SUM(AT10:AT37)</f>
        <v>53608</v>
      </c>
      <c r="AU7" s="656">
        <f>SUM(AU10:AU37)</f>
        <v>43169</v>
      </c>
      <c r="AV7" s="656">
        <f>SUM(AV10:AV37)</f>
        <v>39204</v>
      </c>
      <c r="AW7" s="656">
        <f>SUM(AW10:AW37)</f>
        <v>37690</v>
      </c>
      <c r="AX7" s="656">
        <f>SUM(AX10:AX37)</f>
        <v>35460</v>
      </c>
      <c r="AY7" s="656">
        <f>SUM(AY10:AY37)</f>
        <v>38330</v>
      </c>
      <c r="AZ7" s="661">
        <f>SUM(AZ10:AZ37)</f>
        <v>38761</v>
      </c>
      <c r="BA7" s="661">
        <f>SUM(BA10:BA37)</f>
        <v>46713</v>
      </c>
      <c r="BB7" s="657">
        <f>SUM(BB10:BB37)</f>
        <v>38896</v>
      </c>
      <c r="BC7" s="253">
        <f>BB7/BA7-1</f>
        <v>-0.1673409971528268</v>
      </c>
      <c r="BD7" s="57" t="s">
        <v>222</v>
      </c>
    </row>
    <row r="8" spans="1:56" ht="12.75" customHeight="1">
      <c r="A8" s="8"/>
      <c r="B8" s="55" t="s">
        <v>227</v>
      </c>
      <c r="C8" s="660">
        <f>SUM(C10,C13,C14,C16:C19,C25,C28:C29,C31,C35:C37,C21)</f>
        <v>12073</v>
      </c>
      <c r="D8" s="661">
        <f aca="true" t="shared" si="0" ref="D8:AW8">SUM(D10,D13,D14,D16:D19,D25,D28:D29,D31,D35:D37,D21)</f>
        <v>11463</v>
      </c>
      <c r="E8" s="661">
        <f t="shared" si="0"/>
        <v>11328</v>
      </c>
      <c r="F8" s="661">
        <f t="shared" si="0"/>
        <v>12051</v>
      </c>
      <c r="G8" s="661">
        <f t="shared" si="0"/>
        <v>5908</v>
      </c>
      <c r="H8" s="661">
        <f t="shared" si="0"/>
        <v>3913</v>
      </c>
      <c r="I8" s="661">
        <f t="shared" si="0"/>
        <v>3970</v>
      </c>
      <c r="J8" s="661">
        <f t="shared" si="0"/>
        <v>3018</v>
      </c>
      <c r="K8" s="661">
        <f t="shared" si="0"/>
        <v>3044</v>
      </c>
      <c r="L8" s="661">
        <f t="shared" si="0"/>
        <v>2910</v>
      </c>
      <c r="M8" s="661">
        <f t="shared" si="0"/>
        <v>3089</v>
      </c>
      <c r="N8" s="661">
        <f>SUM(N10,N13,N14,N16:N19,N25,N28:N29,N31,N35:N37,N21)</f>
        <v>2708</v>
      </c>
      <c r="O8" s="657">
        <f t="shared" si="0"/>
        <v>1776</v>
      </c>
      <c r="P8" s="660">
        <f t="shared" si="0"/>
        <v>9302</v>
      </c>
      <c r="Q8" s="661">
        <f t="shared" si="0"/>
        <v>11385</v>
      </c>
      <c r="R8" s="661">
        <f t="shared" si="0"/>
        <v>10914</v>
      </c>
      <c r="S8" s="661">
        <f t="shared" si="0"/>
        <v>12302</v>
      </c>
      <c r="T8" s="661">
        <f t="shared" si="0"/>
        <v>13993</v>
      </c>
      <c r="U8" s="661">
        <f t="shared" si="0"/>
        <v>11842</v>
      </c>
      <c r="V8" s="661">
        <f t="shared" si="0"/>
        <v>10881</v>
      </c>
      <c r="W8" s="661">
        <f t="shared" si="0"/>
        <v>8760</v>
      </c>
      <c r="X8" s="661">
        <f t="shared" si="0"/>
        <v>9972</v>
      </c>
      <c r="Y8" s="661">
        <f t="shared" si="0"/>
        <v>10046</v>
      </c>
      <c r="Z8" s="661">
        <f t="shared" si="0"/>
        <v>9095</v>
      </c>
      <c r="AA8" s="661">
        <f>SUM(AA10,AA13,AA14,AA16:AA19,AA25,AA28:AA29,AA31,AA35:AA37,AA21)</f>
        <v>11421</v>
      </c>
      <c r="AB8" s="657">
        <f t="shared" si="0"/>
        <v>11129</v>
      </c>
      <c r="AC8" s="660">
        <f t="shared" si="0"/>
        <v>21818</v>
      </c>
      <c r="AD8" s="661">
        <f t="shared" si="0"/>
        <v>21604</v>
      </c>
      <c r="AE8" s="661">
        <f t="shared" si="0"/>
        <v>22119</v>
      </c>
      <c r="AF8" s="661">
        <f t="shared" si="0"/>
        <v>22006</v>
      </c>
      <c r="AG8" s="661">
        <f t="shared" si="0"/>
        <v>22537</v>
      </c>
      <c r="AH8" s="661">
        <f t="shared" si="0"/>
        <v>21490</v>
      </c>
      <c r="AI8" s="661">
        <f t="shared" si="0"/>
        <v>19153</v>
      </c>
      <c r="AJ8" s="661">
        <f t="shared" si="0"/>
        <v>21402</v>
      </c>
      <c r="AK8" s="661">
        <f t="shared" si="0"/>
        <v>17912</v>
      </c>
      <c r="AL8" s="661">
        <f t="shared" si="0"/>
        <v>18428</v>
      </c>
      <c r="AM8" s="661">
        <f t="shared" si="0"/>
        <v>18473</v>
      </c>
      <c r="AN8" s="661">
        <f>SUM(AN10,AN13,AN14,AN16:AN19,AN25,AN28:AN29,AN31,AN35:AN37,AN21)</f>
        <v>20621</v>
      </c>
      <c r="AO8" s="657">
        <f t="shared" si="0"/>
        <v>20406</v>
      </c>
      <c r="AP8" s="661">
        <f t="shared" si="0"/>
        <v>43193</v>
      </c>
      <c r="AQ8" s="661">
        <f t="shared" si="0"/>
        <v>44452</v>
      </c>
      <c r="AR8" s="661">
        <f t="shared" si="0"/>
        <v>44361</v>
      </c>
      <c r="AS8" s="661">
        <f t="shared" si="0"/>
        <v>46359</v>
      </c>
      <c r="AT8" s="661">
        <f t="shared" si="0"/>
        <v>42438</v>
      </c>
      <c r="AU8" s="661">
        <f t="shared" si="0"/>
        <v>37245</v>
      </c>
      <c r="AV8" s="661">
        <f t="shared" si="0"/>
        <v>34004</v>
      </c>
      <c r="AW8" s="661">
        <f t="shared" si="0"/>
        <v>33180</v>
      </c>
      <c r="AX8" s="661">
        <f>SUM(AX10,AX13,AX14,AX16:AX19,AX25,AX28:AX29,AX31,AX35:AX37,AX21)</f>
        <v>30928</v>
      </c>
      <c r="AY8" s="661">
        <f>SUM(AY10,AY13,AY14,AY16:AY19,AY25,AY28:AY29,AY31,AY35:AY37,AY21)</f>
        <v>31384</v>
      </c>
      <c r="AZ8" s="661">
        <f>SUM(AZ10,AZ13,AZ14,AZ16:AZ19,AZ25,AZ28:AZ29,AZ31,AZ35:AZ37,AZ21)</f>
        <v>30657</v>
      </c>
      <c r="BA8" s="661">
        <f>SUM(BA10,BA13,BA14,BA16:BA19,BA25,BA28:BA29,BA31,BA35:BA37,BA21)</f>
        <v>34750</v>
      </c>
      <c r="BB8" s="657">
        <f>SUM(BB10,BB13,BB14,BB16:BB19,BB25,BB28:BB29,BB31,BB35:BB37,BB21)</f>
        <v>33311</v>
      </c>
      <c r="BC8" s="253">
        <f aca="true" t="shared" si="1" ref="BC8:BC40">BB8/BA8-1</f>
        <v>-0.04141007194244606</v>
      </c>
      <c r="BD8" s="55" t="s">
        <v>227</v>
      </c>
    </row>
    <row r="9" spans="1:56" ht="12.75" customHeight="1">
      <c r="A9" s="8"/>
      <c r="B9" s="56" t="s">
        <v>231</v>
      </c>
      <c r="C9" s="662"/>
      <c r="D9" s="663"/>
      <c r="E9" s="663"/>
      <c r="F9" s="663"/>
      <c r="G9" s="663"/>
      <c r="H9" s="663"/>
      <c r="I9" s="663"/>
      <c r="J9" s="663"/>
      <c r="K9" s="663"/>
      <c r="L9" s="663"/>
      <c r="M9" s="663"/>
      <c r="N9" s="663"/>
      <c r="O9" s="701"/>
      <c r="P9" s="662"/>
      <c r="Q9" s="663"/>
      <c r="R9" s="663"/>
      <c r="S9" s="663"/>
      <c r="T9" s="663"/>
      <c r="U9" s="663"/>
      <c r="V9" s="663"/>
      <c r="W9" s="663"/>
      <c r="X9" s="663"/>
      <c r="Y9" s="663"/>
      <c r="Z9" s="663"/>
      <c r="AA9" s="663"/>
      <c r="AB9" s="701"/>
      <c r="AC9" s="662"/>
      <c r="AD9" s="663"/>
      <c r="AE9" s="663"/>
      <c r="AF9" s="663"/>
      <c r="AG9" s="663"/>
      <c r="AH9" s="663"/>
      <c r="AI9" s="663"/>
      <c r="AJ9" s="663"/>
      <c r="AK9" s="663"/>
      <c r="AL9" s="663"/>
      <c r="AM9" s="663"/>
      <c r="AN9" s="663"/>
      <c r="AO9" s="701"/>
      <c r="AP9" s="663"/>
      <c r="AQ9" s="663"/>
      <c r="AR9" s="663">
        <f>AR7-AR8</f>
        <v>8324</v>
      </c>
      <c r="AS9" s="663">
        <f>AS7-AS8</f>
        <v>9225</v>
      </c>
      <c r="AT9" s="663">
        <f>AT7-AT8</f>
        <v>11170</v>
      </c>
      <c r="AU9" s="663">
        <f>AU7-AU8</f>
        <v>5924</v>
      </c>
      <c r="AV9" s="663">
        <f>AV7-AV8</f>
        <v>5200</v>
      </c>
      <c r="AW9" s="663">
        <f>AW7-AW8</f>
        <v>4510</v>
      </c>
      <c r="AX9" s="663">
        <f>AX7-AX8</f>
        <v>4532</v>
      </c>
      <c r="AY9" s="663">
        <f>AY7-AY8</f>
        <v>6946</v>
      </c>
      <c r="AZ9" s="661">
        <f>AZ7-AZ8</f>
        <v>8104</v>
      </c>
      <c r="BA9" s="661">
        <f>BA7-BA8</f>
        <v>11963</v>
      </c>
      <c r="BB9" s="1003">
        <f>BB7-BB8</f>
        <v>5585</v>
      </c>
      <c r="BC9" s="253">
        <f t="shared" si="1"/>
        <v>-0.5331438602357268</v>
      </c>
      <c r="BD9" s="56" t="s">
        <v>231</v>
      </c>
    </row>
    <row r="10" spans="1:56" ht="12.75" customHeight="1">
      <c r="A10" s="8"/>
      <c r="B10" s="10" t="s">
        <v>62</v>
      </c>
      <c r="C10" s="702">
        <v>294</v>
      </c>
      <c r="D10" s="554">
        <v>346</v>
      </c>
      <c r="E10" s="666">
        <v>237</v>
      </c>
      <c r="F10" s="666">
        <v>17</v>
      </c>
      <c r="G10" s="666">
        <v>31</v>
      </c>
      <c r="H10" s="667">
        <v>23</v>
      </c>
      <c r="I10" s="666">
        <v>3</v>
      </c>
      <c r="J10" s="666">
        <v>0</v>
      </c>
      <c r="K10" s="666">
        <v>4</v>
      </c>
      <c r="L10" s="666">
        <v>2</v>
      </c>
      <c r="M10" s="666">
        <v>2</v>
      </c>
      <c r="N10" s="666">
        <v>0</v>
      </c>
      <c r="O10" s="677">
        <v>0</v>
      </c>
      <c r="P10" s="669">
        <v>245</v>
      </c>
      <c r="Q10" s="666">
        <v>243</v>
      </c>
      <c r="R10" s="666">
        <v>280</v>
      </c>
      <c r="S10" s="666">
        <v>279</v>
      </c>
      <c r="T10" s="666">
        <v>369</v>
      </c>
      <c r="U10" s="667">
        <v>272</v>
      </c>
      <c r="V10" s="667">
        <v>257</v>
      </c>
      <c r="W10" s="667">
        <v>171</v>
      </c>
      <c r="X10" s="667">
        <f>270</f>
        <v>270</v>
      </c>
      <c r="Y10" s="667">
        <v>305</v>
      </c>
      <c r="Z10" s="667">
        <v>301</v>
      </c>
      <c r="AA10" s="667">
        <v>288</v>
      </c>
      <c r="AB10" s="668">
        <v>217</v>
      </c>
      <c r="AC10" s="670">
        <v>637</v>
      </c>
      <c r="AD10" s="667">
        <v>594</v>
      </c>
      <c r="AE10" s="667">
        <v>627</v>
      </c>
      <c r="AF10" s="667">
        <v>799</v>
      </c>
      <c r="AG10" s="667">
        <v>806</v>
      </c>
      <c r="AH10" s="667">
        <v>684</v>
      </c>
      <c r="AI10" s="667">
        <v>755</v>
      </c>
      <c r="AJ10" s="667">
        <v>537</v>
      </c>
      <c r="AK10" s="667">
        <v>416</v>
      </c>
      <c r="AL10" s="667">
        <v>458</v>
      </c>
      <c r="AM10" s="667">
        <v>839</v>
      </c>
      <c r="AN10" s="667">
        <v>635</v>
      </c>
      <c r="AO10" s="668">
        <v>450</v>
      </c>
      <c r="AP10" s="667">
        <f aca="true" t="shared" si="2" ref="AP10:AW10">C10+P10+AC10</f>
        <v>1176</v>
      </c>
      <c r="AQ10" s="667">
        <f t="shared" si="2"/>
        <v>1183</v>
      </c>
      <c r="AR10" s="667">
        <f t="shared" si="2"/>
        <v>1144</v>
      </c>
      <c r="AS10" s="667">
        <f t="shared" si="2"/>
        <v>1095</v>
      </c>
      <c r="AT10" s="667">
        <f t="shared" si="2"/>
        <v>1206</v>
      </c>
      <c r="AU10" s="667">
        <f t="shared" si="2"/>
        <v>979</v>
      </c>
      <c r="AV10" s="667">
        <f t="shared" si="2"/>
        <v>1015</v>
      </c>
      <c r="AW10" s="667">
        <f t="shared" si="2"/>
        <v>708</v>
      </c>
      <c r="AX10" s="667">
        <f>SUM(K10,X10,AK10)</f>
        <v>690</v>
      </c>
      <c r="AY10" s="667">
        <f>L10+Y10+AL10</f>
        <v>765</v>
      </c>
      <c r="AZ10" s="667">
        <f>M10+Z10+AM10</f>
        <v>1142</v>
      </c>
      <c r="BA10" s="667">
        <f>N10+AA10+AN10</f>
        <v>923</v>
      </c>
      <c r="BB10" s="668">
        <f>O10+AB10+AO10</f>
        <v>667</v>
      </c>
      <c r="BC10" s="240">
        <f t="shared" si="1"/>
        <v>-0.2773564463705309</v>
      </c>
      <c r="BD10" s="10" t="s">
        <v>62</v>
      </c>
    </row>
    <row r="11" spans="1:56" ht="12.75" customHeight="1">
      <c r="A11" s="8"/>
      <c r="B11" s="55" t="s">
        <v>45</v>
      </c>
      <c r="C11" s="703"/>
      <c r="D11" s="704">
        <v>856</v>
      </c>
      <c r="E11" s="671">
        <v>788</v>
      </c>
      <c r="F11" s="671">
        <v>525</v>
      </c>
      <c r="G11" s="671">
        <v>1047</v>
      </c>
      <c r="H11" s="671">
        <v>424</v>
      </c>
      <c r="I11" s="671">
        <v>107</v>
      </c>
      <c r="J11" s="671">
        <v>57</v>
      </c>
      <c r="K11" s="687">
        <v>46</v>
      </c>
      <c r="L11" s="687">
        <v>246</v>
      </c>
      <c r="M11" s="687">
        <v>361</v>
      </c>
      <c r="N11" s="687">
        <v>332</v>
      </c>
      <c r="O11" s="688">
        <v>506</v>
      </c>
      <c r="P11" s="673" t="s">
        <v>80</v>
      </c>
      <c r="Q11" s="674" t="s">
        <v>80</v>
      </c>
      <c r="R11" s="674" t="s">
        <v>80</v>
      </c>
      <c r="S11" s="674" t="s">
        <v>80</v>
      </c>
      <c r="T11" s="674" t="s">
        <v>80</v>
      </c>
      <c r="U11" s="674" t="s">
        <v>80</v>
      </c>
      <c r="V11" s="674" t="s">
        <v>80</v>
      </c>
      <c r="W11" s="674" t="s">
        <v>80</v>
      </c>
      <c r="X11" s="674" t="s">
        <v>80</v>
      </c>
      <c r="Y11" s="691" t="s">
        <v>80</v>
      </c>
      <c r="Z11" s="691" t="s">
        <v>80</v>
      </c>
      <c r="AA11" s="691" t="s">
        <v>80</v>
      </c>
      <c r="AB11" s="691" t="s">
        <v>80</v>
      </c>
      <c r="AC11" s="673" t="s">
        <v>80</v>
      </c>
      <c r="AD11" s="674" t="s">
        <v>80</v>
      </c>
      <c r="AE11" s="674" t="s">
        <v>80</v>
      </c>
      <c r="AF11" s="674" t="s">
        <v>80</v>
      </c>
      <c r="AG11" s="674" t="s">
        <v>80</v>
      </c>
      <c r="AH11" s="674" t="s">
        <v>80</v>
      </c>
      <c r="AI11" s="674" t="s">
        <v>80</v>
      </c>
      <c r="AJ11" s="674" t="s">
        <v>80</v>
      </c>
      <c r="AK11" s="674" t="s">
        <v>80</v>
      </c>
      <c r="AL11" s="691" t="s">
        <v>80</v>
      </c>
      <c r="AM11" s="691" t="s">
        <v>80</v>
      </c>
      <c r="AN11" s="691" t="s">
        <v>80</v>
      </c>
      <c r="AO11" s="691" t="s">
        <v>80</v>
      </c>
      <c r="AP11" s="678"/>
      <c r="AQ11" s="671">
        <f aca="true" t="shared" si="3" ref="AQ11:AZ11">D11</f>
        <v>856</v>
      </c>
      <c r="AR11" s="671">
        <f t="shared" si="3"/>
        <v>788</v>
      </c>
      <c r="AS11" s="671">
        <f t="shared" si="3"/>
        <v>525</v>
      </c>
      <c r="AT11" s="671">
        <f t="shared" si="3"/>
        <v>1047</v>
      </c>
      <c r="AU11" s="687">
        <f t="shared" si="3"/>
        <v>424</v>
      </c>
      <c r="AV11" s="687">
        <f t="shared" si="3"/>
        <v>107</v>
      </c>
      <c r="AW11" s="687">
        <f t="shared" si="3"/>
        <v>57</v>
      </c>
      <c r="AX11" s="687">
        <f t="shared" si="3"/>
        <v>46</v>
      </c>
      <c r="AY11" s="687">
        <f t="shared" si="3"/>
        <v>246</v>
      </c>
      <c r="AZ11" s="687">
        <f t="shared" si="3"/>
        <v>361</v>
      </c>
      <c r="BA11" s="687">
        <f>N11</f>
        <v>332</v>
      </c>
      <c r="BB11" s="688">
        <v>506</v>
      </c>
      <c r="BC11" s="249">
        <f t="shared" si="1"/>
        <v>0.5240963855421688</v>
      </c>
      <c r="BD11" s="184" t="s">
        <v>45</v>
      </c>
    </row>
    <row r="12" spans="1:56" ht="12.75" customHeight="1">
      <c r="A12" s="8"/>
      <c r="B12" s="10" t="s">
        <v>47</v>
      </c>
      <c r="C12" s="702">
        <v>71</v>
      </c>
      <c r="D12" s="554">
        <v>39</v>
      </c>
      <c r="E12" s="666"/>
      <c r="F12" s="666"/>
      <c r="G12" s="666">
        <v>1</v>
      </c>
      <c r="H12" s="666">
        <v>0</v>
      </c>
      <c r="I12" s="666">
        <v>0</v>
      </c>
      <c r="J12" s="666">
        <v>0</v>
      </c>
      <c r="K12" s="666">
        <v>7</v>
      </c>
      <c r="L12" s="666">
        <v>2</v>
      </c>
      <c r="M12" s="666">
        <v>0</v>
      </c>
      <c r="N12" s="666">
        <v>5</v>
      </c>
      <c r="O12" s="677">
        <v>2</v>
      </c>
      <c r="P12" s="669">
        <v>229</v>
      </c>
      <c r="Q12" s="666">
        <v>207</v>
      </c>
      <c r="R12" s="666">
        <v>286</v>
      </c>
      <c r="S12" s="666">
        <v>355</v>
      </c>
      <c r="T12" s="666">
        <v>335</v>
      </c>
      <c r="U12" s="666">
        <v>335</v>
      </c>
      <c r="V12" s="666">
        <v>140</v>
      </c>
      <c r="W12" s="666">
        <v>165</v>
      </c>
      <c r="X12" s="666">
        <v>130</v>
      </c>
      <c r="Y12" s="666">
        <v>194</v>
      </c>
      <c r="Z12" s="666">
        <v>124</v>
      </c>
      <c r="AA12" s="666">
        <v>189</v>
      </c>
      <c r="AB12" s="677">
        <v>151</v>
      </c>
      <c r="AC12" s="669">
        <v>624</v>
      </c>
      <c r="AD12" s="666">
        <v>630</v>
      </c>
      <c r="AE12" s="666">
        <v>680</v>
      </c>
      <c r="AF12" s="666">
        <v>614</v>
      </c>
      <c r="AG12" s="666">
        <v>888</v>
      </c>
      <c r="AH12" s="666">
        <v>611</v>
      </c>
      <c r="AI12" s="666">
        <v>525</v>
      </c>
      <c r="AJ12" s="666">
        <v>554</v>
      </c>
      <c r="AK12" s="666">
        <v>451</v>
      </c>
      <c r="AL12" s="666">
        <v>613</v>
      </c>
      <c r="AM12" s="666">
        <v>919</v>
      </c>
      <c r="AN12" s="666">
        <v>1159</v>
      </c>
      <c r="AO12" s="677">
        <v>850</v>
      </c>
      <c r="AP12" s="666">
        <f aca="true" t="shared" si="4" ref="AP12:AW19">C12+P12+AC12</f>
        <v>924</v>
      </c>
      <c r="AQ12" s="666">
        <f t="shared" si="4"/>
        <v>876</v>
      </c>
      <c r="AR12" s="666">
        <f t="shared" si="4"/>
        <v>966</v>
      </c>
      <c r="AS12" s="666">
        <f t="shared" si="4"/>
        <v>969</v>
      </c>
      <c r="AT12" s="666">
        <f t="shared" si="4"/>
        <v>1224</v>
      </c>
      <c r="AU12" s="666">
        <f t="shared" si="4"/>
        <v>946</v>
      </c>
      <c r="AV12" s="666">
        <f t="shared" si="4"/>
        <v>665</v>
      </c>
      <c r="AW12" s="666">
        <f t="shared" si="4"/>
        <v>719</v>
      </c>
      <c r="AX12" s="666">
        <f aca="true" t="shared" si="5" ref="AX12:AX19">SUM(K12,X12,AK12)</f>
        <v>588</v>
      </c>
      <c r="AY12" s="666">
        <f aca="true" t="shared" si="6" ref="AY12:AY21">L12+Y12+AL12</f>
        <v>809</v>
      </c>
      <c r="AZ12" s="666">
        <f aca="true" t="shared" si="7" ref="AZ12:AZ21">M12+Z12+AM12</f>
        <v>1043</v>
      </c>
      <c r="BA12" s="666">
        <f aca="true" t="shared" si="8" ref="BA12:BA21">N12+AA12+AN12</f>
        <v>1353</v>
      </c>
      <c r="BB12" s="677">
        <f aca="true" t="shared" si="9" ref="BB12:BB21">O12+AB12+AO12</f>
        <v>1003</v>
      </c>
      <c r="BC12" s="242">
        <f t="shared" si="1"/>
        <v>-0.2586844050258684</v>
      </c>
      <c r="BD12" s="10" t="s">
        <v>47</v>
      </c>
    </row>
    <row r="13" spans="1:56" ht="12.75" customHeight="1">
      <c r="A13" s="8"/>
      <c r="B13" s="55" t="s">
        <v>58</v>
      </c>
      <c r="C13" s="703">
        <v>1343</v>
      </c>
      <c r="D13" s="704">
        <v>2022</v>
      </c>
      <c r="E13" s="671">
        <v>2704</v>
      </c>
      <c r="F13" s="671">
        <v>3459</v>
      </c>
      <c r="G13" s="671">
        <v>537</v>
      </c>
      <c r="H13" s="671">
        <v>348</v>
      </c>
      <c r="I13" s="671">
        <v>375</v>
      </c>
      <c r="J13" s="671">
        <v>344</v>
      </c>
      <c r="K13" s="671">
        <v>271</v>
      </c>
      <c r="L13" s="671">
        <v>338</v>
      </c>
      <c r="M13" s="671">
        <v>467</v>
      </c>
      <c r="N13" s="671">
        <v>474</v>
      </c>
      <c r="O13" s="672">
        <v>539</v>
      </c>
      <c r="P13" s="678">
        <v>95</v>
      </c>
      <c r="Q13" s="671">
        <v>154</v>
      </c>
      <c r="R13" s="671">
        <v>94</v>
      </c>
      <c r="S13" s="671">
        <v>158</v>
      </c>
      <c r="T13" s="671">
        <v>225</v>
      </c>
      <c r="U13" s="671">
        <v>300</v>
      </c>
      <c r="V13" s="671">
        <v>254</v>
      </c>
      <c r="W13" s="671">
        <v>164</v>
      </c>
      <c r="X13" s="671">
        <v>169</v>
      </c>
      <c r="Y13" s="671">
        <v>137</v>
      </c>
      <c r="Z13" s="671">
        <v>192</v>
      </c>
      <c r="AA13" s="671">
        <v>281</v>
      </c>
      <c r="AB13" s="672">
        <v>309</v>
      </c>
      <c r="AC13" s="678">
        <v>319</v>
      </c>
      <c r="AD13" s="671">
        <v>267</v>
      </c>
      <c r="AE13" s="671">
        <v>390</v>
      </c>
      <c r="AF13" s="671">
        <v>295</v>
      </c>
      <c r="AG13" s="671">
        <v>429</v>
      </c>
      <c r="AH13" s="671">
        <v>464</v>
      </c>
      <c r="AI13" s="671">
        <v>375</v>
      </c>
      <c r="AJ13" s="671">
        <v>294</v>
      </c>
      <c r="AK13" s="671">
        <v>324</v>
      </c>
      <c r="AL13" s="671">
        <v>259</v>
      </c>
      <c r="AM13" s="671">
        <v>269</v>
      </c>
      <c r="AN13" s="671">
        <v>169</v>
      </c>
      <c r="AO13" s="672">
        <v>157</v>
      </c>
      <c r="AP13" s="671">
        <f t="shared" si="4"/>
        <v>1757</v>
      </c>
      <c r="AQ13" s="671">
        <f t="shared" si="4"/>
        <v>2443</v>
      </c>
      <c r="AR13" s="671">
        <f t="shared" si="4"/>
        <v>3188</v>
      </c>
      <c r="AS13" s="671">
        <f t="shared" si="4"/>
        <v>3912</v>
      </c>
      <c r="AT13" s="671">
        <f t="shared" si="4"/>
        <v>1191</v>
      </c>
      <c r="AU13" s="671">
        <f t="shared" si="4"/>
        <v>1112</v>
      </c>
      <c r="AV13" s="671">
        <f t="shared" si="4"/>
        <v>1004</v>
      </c>
      <c r="AW13" s="687">
        <f t="shared" si="4"/>
        <v>802</v>
      </c>
      <c r="AX13" s="687">
        <f t="shared" si="5"/>
        <v>764</v>
      </c>
      <c r="AY13" s="687">
        <f t="shared" si="6"/>
        <v>734</v>
      </c>
      <c r="AZ13" s="687">
        <f t="shared" si="7"/>
        <v>928</v>
      </c>
      <c r="BA13" s="687">
        <f t="shared" si="8"/>
        <v>924</v>
      </c>
      <c r="BB13" s="688">
        <f t="shared" si="9"/>
        <v>1005</v>
      </c>
      <c r="BC13" s="241">
        <f t="shared" si="1"/>
        <v>0.08766233766233755</v>
      </c>
      <c r="BD13" s="55" t="s">
        <v>58</v>
      </c>
    </row>
    <row r="14" spans="1:56" ht="12.75" customHeight="1">
      <c r="A14" s="8"/>
      <c r="B14" s="10" t="s">
        <v>63</v>
      </c>
      <c r="C14" s="702">
        <v>78</v>
      </c>
      <c r="D14" s="554">
        <v>98</v>
      </c>
      <c r="E14" s="666">
        <v>35</v>
      </c>
      <c r="F14" s="666">
        <v>30</v>
      </c>
      <c r="G14" s="666">
        <v>28</v>
      </c>
      <c r="H14" s="666">
        <v>12</v>
      </c>
      <c r="I14" s="666">
        <v>4</v>
      </c>
      <c r="J14" s="666">
        <v>18</v>
      </c>
      <c r="K14" s="666">
        <v>27</v>
      </c>
      <c r="L14" s="666">
        <v>18</v>
      </c>
      <c r="M14" s="666">
        <v>14</v>
      </c>
      <c r="N14" s="666">
        <v>19</v>
      </c>
      <c r="O14" s="677">
        <v>11</v>
      </c>
      <c r="P14" s="669">
        <v>997</v>
      </c>
      <c r="Q14" s="666">
        <v>907</v>
      </c>
      <c r="R14" s="666">
        <v>966</v>
      </c>
      <c r="S14" s="666">
        <v>907</v>
      </c>
      <c r="T14" s="666">
        <v>1226</v>
      </c>
      <c r="U14" s="666">
        <v>987</v>
      </c>
      <c r="V14" s="666">
        <v>928</v>
      </c>
      <c r="W14" s="666">
        <v>775</v>
      </c>
      <c r="X14" s="666">
        <v>986</v>
      </c>
      <c r="Y14" s="666">
        <v>1321</v>
      </c>
      <c r="Z14" s="666">
        <v>1009</v>
      </c>
      <c r="AA14" s="666">
        <v>1174</v>
      </c>
      <c r="AB14" s="677">
        <v>1097</v>
      </c>
      <c r="AC14" s="669">
        <v>4322</v>
      </c>
      <c r="AD14" s="666">
        <v>4421</v>
      </c>
      <c r="AE14" s="666">
        <v>4709</v>
      </c>
      <c r="AF14" s="666">
        <v>4534</v>
      </c>
      <c r="AG14" s="666">
        <v>4631</v>
      </c>
      <c r="AH14" s="666">
        <v>4613</v>
      </c>
      <c r="AI14" s="666">
        <v>4287</v>
      </c>
      <c r="AJ14" s="666">
        <v>4249</v>
      </c>
      <c r="AK14" s="666">
        <v>4126</v>
      </c>
      <c r="AL14" s="666">
        <v>4485</v>
      </c>
      <c r="AM14" s="666">
        <v>4628</v>
      </c>
      <c r="AN14" s="666">
        <v>4945</v>
      </c>
      <c r="AO14" s="677">
        <v>5575</v>
      </c>
      <c r="AP14" s="666">
        <f t="shared" si="4"/>
        <v>5397</v>
      </c>
      <c r="AQ14" s="666">
        <f t="shared" si="4"/>
        <v>5426</v>
      </c>
      <c r="AR14" s="666">
        <f t="shared" si="4"/>
        <v>5710</v>
      </c>
      <c r="AS14" s="666">
        <f t="shared" si="4"/>
        <v>5471</v>
      </c>
      <c r="AT14" s="666">
        <f t="shared" si="4"/>
        <v>5885</v>
      </c>
      <c r="AU14" s="666">
        <f t="shared" si="4"/>
        <v>5612</v>
      </c>
      <c r="AV14" s="666">
        <f t="shared" si="4"/>
        <v>5219</v>
      </c>
      <c r="AW14" s="666">
        <f t="shared" si="4"/>
        <v>5042</v>
      </c>
      <c r="AX14" s="666">
        <f t="shared" si="5"/>
        <v>5139</v>
      </c>
      <c r="AY14" s="666">
        <f t="shared" si="6"/>
        <v>5824</v>
      </c>
      <c r="AZ14" s="666">
        <f t="shared" si="7"/>
        <v>5651</v>
      </c>
      <c r="BA14" s="666">
        <f t="shared" si="8"/>
        <v>6138</v>
      </c>
      <c r="BB14" s="677">
        <f t="shared" si="9"/>
        <v>6683</v>
      </c>
      <c r="BC14" s="242">
        <f t="shared" si="1"/>
        <v>0.08879113717823395</v>
      </c>
      <c r="BD14" s="10" t="s">
        <v>63</v>
      </c>
    </row>
    <row r="15" spans="1:56" ht="12.75" customHeight="1">
      <c r="A15" s="8"/>
      <c r="B15" s="55" t="s">
        <v>48</v>
      </c>
      <c r="C15" s="703">
        <v>14</v>
      </c>
      <c r="D15" s="704">
        <v>26</v>
      </c>
      <c r="E15" s="671">
        <v>21</v>
      </c>
      <c r="F15" s="671">
        <v>36</v>
      </c>
      <c r="G15" s="671">
        <v>26</v>
      </c>
      <c r="H15" s="671">
        <v>1</v>
      </c>
      <c r="I15" s="671">
        <v>0</v>
      </c>
      <c r="J15" s="671">
        <v>0</v>
      </c>
      <c r="K15" s="671">
        <v>1</v>
      </c>
      <c r="L15" s="671">
        <v>4</v>
      </c>
      <c r="M15" s="671">
        <v>1</v>
      </c>
      <c r="N15" s="671">
        <v>1</v>
      </c>
      <c r="O15" s="672">
        <v>0</v>
      </c>
      <c r="P15" s="678">
        <v>42</v>
      </c>
      <c r="Q15" s="671">
        <v>53</v>
      </c>
      <c r="R15" s="671">
        <v>103</v>
      </c>
      <c r="S15" s="671">
        <v>103</v>
      </c>
      <c r="T15" s="671">
        <v>96</v>
      </c>
      <c r="U15" s="671">
        <v>85</v>
      </c>
      <c r="V15" s="671">
        <v>120</v>
      </c>
      <c r="W15" s="671">
        <v>65</v>
      </c>
      <c r="X15" s="671">
        <v>55</v>
      </c>
      <c r="Y15" s="671">
        <v>74</v>
      </c>
      <c r="Z15" s="671">
        <v>124</v>
      </c>
      <c r="AA15" s="671">
        <v>125</v>
      </c>
      <c r="AB15" s="672">
        <v>112</v>
      </c>
      <c r="AC15" s="678">
        <v>1</v>
      </c>
      <c r="AD15" s="671">
        <v>17</v>
      </c>
      <c r="AE15" s="671">
        <v>37</v>
      </c>
      <c r="AF15" s="671">
        <v>101</v>
      </c>
      <c r="AG15" s="671">
        <v>22</v>
      </c>
      <c r="AH15" s="671">
        <v>26</v>
      </c>
      <c r="AI15" s="671">
        <v>48</v>
      </c>
      <c r="AJ15" s="671">
        <v>30</v>
      </c>
      <c r="AK15" s="671">
        <v>100</v>
      </c>
      <c r="AL15" s="671">
        <v>158</v>
      </c>
      <c r="AM15" s="671">
        <v>62</v>
      </c>
      <c r="AN15" s="671">
        <v>106</v>
      </c>
      <c r="AO15" s="672">
        <v>59</v>
      </c>
      <c r="AP15" s="671">
        <f t="shared" si="4"/>
        <v>57</v>
      </c>
      <c r="AQ15" s="671">
        <f t="shared" si="4"/>
        <v>96</v>
      </c>
      <c r="AR15" s="671">
        <f t="shared" si="4"/>
        <v>161</v>
      </c>
      <c r="AS15" s="671">
        <f t="shared" si="4"/>
        <v>240</v>
      </c>
      <c r="AT15" s="671">
        <f t="shared" si="4"/>
        <v>144</v>
      </c>
      <c r="AU15" s="671">
        <f t="shared" si="4"/>
        <v>112</v>
      </c>
      <c r="AV15" s="671">
        <f t="shared" si="4"/>
        <v>168</v>
      </c>
      <c r="AW15" s="687">
        <f t="shared" si="4"/>
        <v>95</v>
      </c>
      <c r="AX15" s="687">
        <f t="shared" si="5"/>
        <v>156</v>
      </c>
      <c r="AY15" s="687">
        <f t="shared" si="6"/>
        <v>236</v>
      </c>
      <c r="AZ15" s="687">
        <f t="shared" si="7"/>
        <v>187</v>
      </c>
      <c r="BA15" s="687">
        <f t="shared" si="8"/>
        <v>232</v>
      </c>
      <c r="BB15" s="688">
        <f t="shared" si="9"/>
        <v>171</v>
      </c>
      <c r="BC15" s="241">
        <f t="shared" si="1"/>
        <v>-0.2629310344827587</v>
      </c>
      <c r="BD15" s="55" t="s">
        <v>48</v>
      </c>
    </row>
    <row r="16" spans="1:56" ht="12.75" customHeight="1">
      <c r="A16" s="8"/>
      <c r="B16" s="10" t="s">
        <v>66</v>
      </c>
      <c r="C16" s="702">
        <v>475</v>
      </c>
      <c r="D16" s="554">
        <v>554</v>
      </c>
      <c r="E16" s="666">
        <v>485</v>
      </c>
      <c r="F16" s="666">
        <v>658</v>
      </c>
      <c r="G16" s="666">
        <v>600</v>
      </c>
      <c r="H16" s="666">
        <v>130</v>
      </c>
      <c r="I16" s="666">
        <v>88</v>
      </c>
      <c r="J16" s="666">
        <v>99</v>
      </c>
      <c r="K16" s="666">
        <v>58</v>
      </c>
      <c r="L16" s="666">
        <v>32</v>
      </c>
      <c r="M16" s="666">
        <v>22</v>
      </c>
      <c r="N16" s="666">
        <v>0</v>
      </c>
      <c r="O16" s="677">
        <v>26</v>
      </c>
      <c r="P16" s="669">
        <v>70</v>
      </c>
      <c r="Q16" s="666">
        <v>106</v>
      </c>
      <c r="R16" s="666">
        <v>136</v>
      </c>
      <c r="S16" s="666">
        <v>94</v>
      </c>
      <c r="T16" s="666">
        <v>116</v>
      </c>
      <c r="U16" s="666">
        <v>107</v>
      </c>
      <c r="V16" s="666">
        <v>48</v>
      </c>
      <c r="W16" s="666">
        <v>25</v>
      </c>
      <c r="X16" s="666">
        <v>39</v>
      </c>
      <c r="Y16" s="666">
        <v>53</v>
      </c>
      <c r="Z16" s="666">
        <v>48</v>
      </c>
      <c r="AA16" s="666">
        <v>61</v>
      </c>
      <c r="AB16" s="677">
        <v>136</v>
      </c>
      <c r="AC16" s="669">
        <v>284</v>
      </c>
      <c r="AD16" s="666">
        <v>205</v>
      </c>
      <c r="AE16" s="666">
        <v>327</v>
      </c>
      <c r="AF16" s="666">
        <v>311</v>
      </c>
      <c r="AG16" s="666">
        <v>436</v>
      </c>
      <c r="AH16" s="666">
        <v>130</v>
      </c>
      <c r="AI16" s="666">
        <v>36</v>
      </c>
      <c r="AJ16" s="666">
        <v>58</v>
      </c>
      <c r="AK16" s="666">
        <v>222</v>
      </c>
      <c r="AL16" s="666">
        <v>157</v>
      </c>
      <c r="AM16" s="666">
        <v>205</v>
      </c>
      <c r="AN16" s="666">
        <v>303</v>
      </c>
      <c r="AO16" s="677">
        <v>337</v>
      </c>
      <c r="AP16" s="666">
        <f t="shared" si="4"/>
        <v>829</v>
      </c>
      <c r="AQ16" s="666">
        <f t="shared" si="4"/>
        <v>865</v>
      </c>
      <c r="AR16" s="666">
        <f t="shared" si="4"/>
        <v>948</v>
      </c>
      <c r="AS16" s="666">
        <f t="shared" si="4"/>
        <v>1063</v>
      </c>
      <c r="AT16" s="666">
        <f t="shared" si="4"/>
        <v>1152</v>
      </c>
      <c r="AU16" s="666">
        <f t="shared" si="4"/>
        <v>367</v>
      </c>
      <c r="AV16" s="666">
        <f t="shared" si="4"/>
        <v>172</v>
      </c>
      <c r="AW16" s="666">
        <f t="shared" si="4"/>
        <v>182</v>
      </c>
      <c r="AX16" s="666">
        <f t="shared" si="5"/>
        <v>319</v>
      </c>
      <c r="AY16" s="666">
        <f t="shared" si="6"/>
        <v>242</v>
      </c>
      <c r="AZ16" s="666">
        <f t="shared" si="7"/>
        <v>275</v>
      </c>
      <c r="BA16" s="666">
        <f t="shared" si="8"/>
        <v>364</v>
      </c>
      <c r="BB16" s="677">
        <f t="shared" si="9"/>
        <v>499</v>
      </c>
      <c r="BC16" s="242">
        <f t="shared" si="1"/>
        <v>0.3708791208791209</v>
      </c>
      <c r="BD16" s="10" t="s">
        <v>66</v>
      </c>
    </row>
    <row r="17" spans="1:56" ht="12.75" customHeight="1">
      <c r="A17" s="8"/>
      <c r="B17" s="55" t="s">
        <v>59</v>
      </c>
      <c r="C17" s="703">
        <v>85</v>
      </c>
      <c r="D17" s="704">
        <v>45</v>
      </c>
      <c r="E17" s="671">
        <v>44</v>
      </c>
      <c r="F17" s="671">
        <v>50</v>
      </c>
      <c r="G17" s="671">
        <v>61</v>
      </c>
      <c r="H17" s="671">
        <v>57</v>
      </c>
      <c r="I17" s="671">
        <v>38</v>
      </c>
      <c r="J17" s="671">
        <v>8</v>
      </c>
      <c r="K17" s="671">
        <v>9</v>
      </c>
      <c r="L17" s="671">
        <v>52</v>
      </c>
      <c r="M17" s="671">
        <v>98</v>
      </c>
      <c r="N17" s="671">
        <v>71</v>
      </c>
      <c r="O17" s="672">
        <v>87</v>
      </c>
      <c r="P17" s="678">
        <v>101</v>
      </c>
      <c r="Q17" s="671">
        <v>91</v>
      </c>
      <c r="R17" s="671">
        <v>122</v>
      </c>
      <c r="S17" s="671">
        <v>132</v>
      </c>
      <c r="T17" s="671">
        <v>162</v>
      </c>
      <c r="U17" s="671">
        <v>318</v>
      </c>
      <c r="V17" s="671">
        <v>80</v>
      </c>
      <c r="W17" s="671">
        <v>47</v>
      </c>
      <c r="X17" s="671">
        <v>70</v>
      </c>
      <c r="Y17" s="671">
        <v>38</v>
      </c>
      <c r="Z17" s="671">
        <v>44</v>
      </c>
      <c r="AA17" s="671">
        <v>19</v>
      </c>
      <c r="AB17" s="672">
        <v>28</v>
      </c>
      <c r="AC17" s="678">
        <v>1323</v>
      </c>
      <c r="AD17" s="671">
        <v>524</v>
      </c>
      <c r="AE17" s="671">
        <v>308</v>
      </c>
      <c r="AF17" s="671">
        <v>444</v>
      </c>
      <c r="AG17" s="671">
        <v>352</v>
      </c>
      <c r="AH17" s="671">
        <v>637</v>
      </c>
      <c r="AI17" s="671">
        <v>285</v>
      </c>
      <c r="AJ17" s="671">
        <v>43</v>
      </c>
      <c r="AK17" s="671">
        <v>39</v>
      </c>
      <c r="AL17" s="671">
        <v>10</v>
      </c>
      <c r="AM17" s="671">
        <v>33</v>
      </c>
      <c r="AN17" s="671">
        <v>32</v>
      </c>
      <c r="AO17" s="672">
        <v>75</v>
      </c>
      <c r="AP17" s="671">
        <f t="shared" si="4"/>
        <v>1509</v>
      </c>
      <c r="AQ17" s="671">
        <f t="shared" si="4"/>
        <v>660</v>
      </c>
      <c r="AR17" s="671">
        <f t="shared" si="4"/>
        <v>474</v>
      </c>
      <c r="AS17" s="671">
        <f t="shared" si="4"/>
        <v>626</v>
      </c>
      <c r="AT17" s="671">
        <f t="shared" si="4"/>
        <v>575</v>
      </c>
      <c r="AU17" s="671">
        <f t="shared" si="4"/>
        <v>1012</v>
      </c>
      <c r="AV17" s="671">
        <f t="shared" si="4"/>
        <v>403</v>
      </c>
      <c r="AW17" s="687">
        <f t="shared" si="4"/>
        <v>98</v>
      </c>
      <c r="AX17" s="687">
        <f t="shared" si="5"/>
        <v>118</v>
      </c>
      <c r="AY17" s="687">
        <f t="shared" si="6"/>
        <v>100</v>
      </c>
      <c r="AZ17" s="687">
        <f t="shared" si="7"/>
        <v>175</v>
      </c>
      <c r="BA17" s="687">
        <f t="shared" si="8"/>
        <v>122</v>
      </c>
      <c r="BB17" s="688">
        <f t="shared" si="9"/>
        <v>190</v>
      </c>
      <c r="BC17" s="241">
        <f t="shared" si="1"/>
        <v>0.5573770491803278</v>
      </c>
      <c r="BD17" s="55" t="s">
        <v>59</v>
      </c>
    </row>
    <row r="18" spans="1:56" ht="12.75" customHeight="1">
      <c r="A18" s="8"/>
      <c r="B18" s="10" t="s">
        <v>64</v>
      </c>
      <c r="C18" s="702"/>
      <c r="D18" s="554"/>
      <c r="E18" s="666"/>
      <c r="F18" s="666"/>
      <c r="G18" s="666"/>
      <c r="H18" s="666"/>
      <c r="I18" s="666"/>
      <c r="J18" s="666"/>
      <c r="K18" s="666"/>
      <c r="L18" s="666"/>
      <c r="M18" s="666"/>
      <c r="N18" s="666"/>
      <c r="O18" s="677">
        <v>0</v>
      </c>
      <c r="P18" s="669">
        <v>716</v>
      </c>
      <c r="Q18" s="666">
        <v>1069</v>
      </c>
      <c r="R18" s="666">
        <v>867</v>
      </c>
      <c r="S18" s="666">
        <v>861</v>
      </c>
      <c r="T18" s="666">
        <v>1172</v>
      </c>
      <c r="U18" s="666">
        <v>849</v>
      </c>
      <c r="V18" s="666">
        <v>723</v>
      </c>
      <c r="W18" s="666">
        <v>712</v>
      </c>
      <c r="X18" s="666">
        <v>613</v>
      </c>
      <c r="Y18" s="666">
        <v>443</v>
      </c>
      <c r="Z18" s="666">
        <v>506</v>
      </c>
      <c r="AA18" s="666">
        <v>694</v>
      </c>
      <c r="AB18" s="677">
        <v>848</v>
      </c>
      <c r="AC18" s="669">
        <v>2645</v>
      </c>
      <c r="AD18" s="666">
        <v>2781</v>
      </c>
      <c r="AE18" s="666">
        <v>2765</v>
      </c>
      <c r="AF18" s="666">
        <v>2942</v>
      </c>
      <c r="AG18" s="666">
        <v>2299</v>
      </c>
      <c r="AH18" s="666">
        <v>1795</v>
      </c>
      <c r="AI18" s="666">
        <v>1687</v>
      </c>
      <c r="AJ18" s="666">
        <v>1961</v>
      </c>
      <c r="AK18" s="666">
        <v>1371</v>
      </c>
      <c r="AL18" s="666">
        <v>1212</v>
      </c>
      <c r="AM18" s="666">
        <v>1390</v>
      </c>
      <c r="AN18" s="666">
        <v>1923</v>
      </c>
      <c r="AO18" s="677">
        <v>2452</v>
      </c>
      <c r="AP18" s="666">
        <f t="shared" si="4"/>
        <v>3361</v>
      </c>
      <c r="AQ18" s="666">
        <f t="shared" si="4"/>
        <v>3850</v>
      </c>
      <c r="AR18" s="666">
        <f t="shared" si="4"/>
        <v>3632</v>
      </c>
      <c r="AS18" s="666">
        <f t="shared" si="4"/>
        <v>3803</v>
      </c>
      <c r="AT18" s="666">
        <f t="shared" si="4"/>
        <v>3471</v>
      </c>
      <c r="AU18" s="666">
        <f t="shared" si="4"/>
        <v>2644</v>
      </c>
      <c r="AV18" s="666">
        <f t="shared" si="4"/>
        <v>2410</v>
      </c>
      <c r="AW18" s="666">
        <f t="shared" si="4"/>
        <v>2673</v>
      </c>
      <c r="AX18" s="666">
        <f t="shared" si="5"/>
        <v>1984</v>
      </c>
      <c r="AY18" s="666">
        <f t="shared" si="6"/>
        <v>1655</v>
      </c>
      <c r="AZ18" s="666">
        <f t="shared" si="7"/>
        <v>1896</v>
      </c>
      <c r="BA18" s="666">
        <f t="shared" si="8"/>
        <v>2617</v>
      </c>
      <c r="BB18" s="677">
        <f t="shared" si="9"/>
        <v>3300</v>
      </c>
      <c r="BC18" s="242">
        <f t="shared" si="1"/>
        <v>0.2609858616736722</v>
      </c>
      <c r="BD18" s="10" t="s">
        <v>64</v>
      </c>
    </row>
    <row r="19" spans="1:56" ht="12.75" customHeight="1">
      <c r="A19" s="8"/>
      <c r="B19" s="55" t="s">
        <v>65</v>
      </c>
      <c r="C19" s="703">
        <v>107</v>
      </c>
      <c r="D19" s="704">
        <v>75</v>
      </c>
      <c r="E19" s="671">
        <v>79</v>
      </c>
      <c r="F19" s="671">
        <v>39</v>
      </c>
      <c r="G19" s="671">
        <v>9</v>
      </c>
      <c r="H19" s="671">
        <v>2</v>
      </c>
      <c r="I19" s="671">
        <v>1</v>
      </c>
      <c r="J19" s="671">
        <v>3</v>
      </c>
      <c r="K19" s="671"/>
      <c r="L19" s="671"/>
      <c r="M19" s="671">
        <v>1</v>
      </c>
      <c r="N19" s="671">
        <v>0</v>
      </c>
      <c r="O19" s="672">
        <v>0</v>
      </c>
      <c r="P19" s="678">
        <v>1082</v>
      </c>
      <c r="Q19" s="671">
        <v>1214</v>
      </c>
      <c r="R19" s="671">
        <v>1221</v>
      </c>
      <c r="S19" s="671">
        <v>1335</v>
      </c>
      <c r="T19" s="671">
        <v>1689</v>
      </c>
      <c r="U19" s="671">
        <v>1659</v>
      </c>
      <c r="V19" s="671">
        <v>1240</v>
      </c>
      <c r="W19" s="671">
        <v>1295</v>
      </c>
      <c r="X19" s="671">
        <v>1203</v>
      </c>
      <c r="Y19" s="671">
        <v>1518</v>
      </c>
      <c r="Z19" s="671">
        <v>1145</v>
      </c>
      <c r="AA19" s="671">
        <v>1478</v>
      </c>
      <c r="AB19" s="672">
        <v>1424</v>
      </c>
      <c r="AC19" s="678">
        <v>3670</v>
      </c>
      <c r="AD19" s="671">
        <v>4153</v>
      </c>
      <c r="AE19" s="671">
        <v>4550</v>
      </c>
      <c r="AF19" s="671">
        <v>4797</v>
      </c>
      <c r="AG19" s="671">
        <v>4926</v>
      </c>
      <c r="AH19" s="671">
        <v>5773</v>
      </c>
      <c r="AI19" s="671">
        <v>4666</v>
      </c>
      <c r="AJ19" s="671">
        <v>5508</v>
      </c>
      <c r="AK19" s="671">
        <v>4859</v>
      </c>
      <c r="AL19" s="671">
        <v>5445</v>
      </c>
      <c r="AM19" s="671">
        <v>4751</v>
      </c>
      <c r="AN19" s="671">
        <v>5867</v>
      </c>
      <c r="AO19" s="672">
        <v>5169</v>
      </c>
      <c r="AP19" s="671">
        <f t="shared" si="4"/>
        <v>4859</v>
      </c>
      <c r="AQ19" s="671">
        <f t="shared" si="4"/>
        <v>5442</v>
      </c>
      <c r="AR19" s="671">
        <f t="shared" si="4"/>
        <v>5850</v>
      </c>
      <c r="AS19" s="671">
        <f t="shared" si="4"/>
        <v>6171</v>
      </c>
      <c r="AT19" s="671">
        <f t="shared" si="4"/>
        <v>6624</v>
      </c>
      <c r="AU19" s="671">
        <f t="shared" si="4"/>
        <v>7434</v>
      </c>
      <c r="AV19" s="671">
        <f t="shared" si="4"/>
        <v>5907</v>
      </c>
      <c r="AW19" s="687">
        <f t="shared" si="4"/>
        <v>6806</v>
      </c>
      <c r="AX19" s="687">
        <f t="shared" si="5"/>
        <v>6062</v>
      </c>
      <c r="AY19" s="687">
        <f t="shared" si="6"/>
        <v>6963</v>
      </c>
      <c r="AZ19" s="687">
        <f t="shared" si="7"/>
        <v>5897</v>
      </c>
      <c r="BA19" s="687">
        <f t="shared" si="8"/>
        <v>7345</v>
      </c>
      <c r="BB19" s="688">
        <f t="shared" si="9"/>
        <v>6593</v>
      </c>
      <c r="BC19" s="241">
        <f t="shared" si="1"/>
        <v>-0.10238257317903332</v>
      </c>
      <c r="BD19" s="55" t="s">
        <v>65</v>
      </c>
    </row>
    <row r="20" spans="1:56" ht="12.75" customHeight="1">
      <c r="A20" s="8"/>
      <c r="B20" s="10" t="s">
        <v>76</v>
      </c>
      <c r="C20" s="702">
        <v>288</v>
      </c>
      <c r="D20" s="554">
        <v>381</v>
      </c>
      <c r="E20" s="666">
        <v>376</v>
      </c>
      <c r="F20" s="666">
        <v>433</v>
      </c>
      <c r="G20" s="666">
        <v>391</v>
      </c>
      <c r="H20" s="666">
        <v>484</v>
      </c>
      <c r="I20" s="666">
        <v>195</v>
      </c>
      <c r="J20" s="666">
        <v>173</v>
      </c>
      <c r="K20" s="666">
        <v>217</v>
      </c>
      <c r="L20" s="679">
        <v>2</v>
      </c>
      <c r="M20" s="666">
        <v>1</v>
      </c>
      <c r="N20" s="666">
        <v>4</v>
      </c>
      <c r="O20" s="677">
        <v>0</v>
      </c>
      <c r="P20" s="705" t="s">
        <v>80</v>
      </c>
      <c r="Q20" s="682" t="s">
        <v>80</v>
      </c>
      <c r="R20" s="682" t="s">
        <v>80</v>
      </c>
      <c r="S20" s="682" t="s">
        <v>80</v>
      </c>
      <c r="T20" s="682" t="s">
        <v>80</v>
      </c>
      <c r="U20" s="682" t="s">
        <v>80</v>
      </c>
      <c r="V20" s="682" t="s">
        <v>80</v>
      </c>
      <c r="W20" s="682" t="s">
        <v>80</v>
      </c>
      <c r="X20" s="682" t="s">
        <v>80</v>
      </c>
      <c r="Y20" s="683">
        <v>55</v>
      </c>
      <c r="Z20" s="683">
        <v>38</v>
      </c>
      <c r="AA20" s="683">
        <v>67</v>
      </c>
      <c r="AB20" s="684">
        <v>59</v>
      </c>
      <c r="AC20" s="705" t="s">
        <v>80</v>
      </c>
      <c r="AD20" s="682" t="s">
        <v>80</v>
      </c>
      <c r="AE20" s="682" t="s">
        <v>80</v>
      </c>
      <c r="AF20" s="682" t="s">
        <v>80</v>
      </c>
      <c r="AG20" s="682" t="s">
        <v>80</v>
      </c>
      <c r="AH20" s="682" t="s">
        <v>80</v>
      </c>
      <c r="AI20" s="682" t="s">
        <v>80</v>
      </c>
      <c r="AJ20" s="682" t="s">
        <v>80</v>
      </c>
      <c r="AK20" s="682" t="s">
        <v>80</v>
      </c>
      <c r="AL20" s="683">
        <v>54</v>
      </c>
      <c r="AM20" s="683">
        <v>59</v>
      </c>
      <c r="AN20" s="683">
        <v>62</v>
      </c>
      <c r="AO20" s="684">
        <v>123</v>
      </c>
      <c r="AP20" s="666">
        <f aca="true" t="shared" si="10" ref="AP20:AX20">C20</f>
        <v>288</v>
      </c>
      <c r="AQ20" s="666">
        <f t="shared" si="10"/>
        <v>381</v>
      </c>
      <c r="AR20" s="666">
        <f t="shared" si="10"/>
        <v>376</v>
      </c>
      <c r="AS20" s="666">
        <f t="shared" si="10"/>
        <v>433</v>
      </c>
      <c r="AT20" s="666">
        <f t="shared" si="10"/>
        <v>391</v>
      </c>
      <c r="AU20" s="666">
        <f t="shared" si="10"/>
        <v>484</v>
      </c>
      <c r="AV20" s="666">
        <f t="shared" si="10"/>
        <v>195</v>
      </c>
      <c r="AW20" s="666">
        <f t="shared" si="10"/>
        <v>173</v>
      </c>
      <c r="AX20" s="666">
        <f t="shared" si="10"/>
        <v>217</v>
      </c>
      <c r="AY20" s="666">
        <f t="shared" si="6"/>
        <v>111</v>
      </c>
      <c r="AZ20" s="666">
        <f t="shared" si="7"/>
        <v>98</v>
      </c>
      <c r="BA20" s="666">
        <f t="shared" si="8"/>
        <v>133</v>
      </c>
      <c r="BB20" s="677">
        <f t="shared" si="9"/>
        <v>182</v>
      </c>
      <c r="BC20" s="242">
        <f t="shared" si="1"/>
        <v>0.368421052631579</v>
      </c>
      <c r="BD20" s="10" t="s">
        <v>76</v>
      </c>
    </row>
    <row r="21" spans="1:56" ht="12.75" customHeight="1">
      <c r="A21" s="8"/>
      <c r="B21" s="184" t="s">
        <v>67</v>
      </c>
      <c r="C21" s="706">
        <v>40</v>
      </c>
      <c r="D21" s="555">
        <v>32</v>
      </c>
      <c r="E21" s="687">
        <v>52</v>
      </c>
      <c r="F21" s="687">
        <v>79</v>
      </c>
      <c r="G21" s="687">
        <v>41</v>
      </c>
      <c r="H21" s="687">
        <v>26</v>
      </c>
      <c r="I21" s="687">
        <v>31</v>
      </c>
      <c r="J21" s="687">
        <v>0</v>
      </c>
      <c r="K21" s="687">
        <v>24</v>
      </c>
      <c r="L21" s="687">
        <v>99</v>
      </c>
      <c r="M21" s="687">
        <v>33</v>
      </c>
      <c r="N21" s="687">
        <v>40</v>
      </c>
      <c r="O21" s="688">
        <v>33</v>
      </c>
      <c r="P21" s="689">
        <v>1586</v>
      </c>
      <c r="Q21" s="687">
        <v>1699</v>
      </c>
      <c r="R21" s="687">
        <v>1974</v>
      </c>
      <c r="S21" s="687">
        <v>1624</v>
      </c>
      <c r="T21" s="687">
        <v>1932</v>
      </c>
      <c r="U21" s="687">
        <v>1770</v>
      </c>
      <c r="V21" s="687">
        <v>1829</v>
      </c>
      <c r="W21" s="687">
        <v>1878</v>
      </c>
      <c r="X21" s="687">
        <v>1120</v>
      </c>
      <c r="Y21" s="687">
        <v>926</v>
      </c>
      <c r="Z21" s="687">
        <v>755</v>
      </c>
      <c r="AA21" s="687">
        <v>850</v>
      </c>
      <c r="AB21" s="688">
        <v>1268</v>
      </c>
      <c r="AC21" s="689">
        <v>3237</v>
      </c>
      <c r="AD21" s="687">
        <v>3311</v>
      </c>
      <c r="AE21" s="687">
        <v>2796</v>
      </c>
      <c r="AF21" s="687">
        <v>2770</v>
      </c>
      <c r="AG21" s="687">
        <v>2770</v>
      </c>
      <c r="AH21" s="687">
        <v>1473</v>
      </c>
      <c r="AI21" s="687">
        <v>2442</v>
      </c>
      <c r="AJ21" s="687">
        <v>4030</v>
      </c>
      <c r="AK21" s="687">
        <v>1149</v>
      </c>
      <c r="AL21" s="687">
        <v>1676</v>
      </c>
      <c r="AM21" s="687">
        <v>1271</v>
      </c>
      <c r="AN21" s="687">
        <v>1549</v>
      </c>
      <c r="AO21" s="688">
        <v>1379</v>
      </c>
      <c r="AP21" s="687">
        <f aca="true" t="shared" si="11" ref="AP21:AW21">C21+P21+AC21</f>
        <v>4863</v>
      </c>
      <c r="AQ21" s="687">
        <f t="shared" si="11"/>
        <v>5042</v>
      </c>
      <c r="AR21" s="687">
        <f t="shared" si="11"/>
        <v>4822</v>
      </c>
      <c r="AS21" s="687">
        <f t="shared" si="11"/>
        <v>4473</v>
      </c>
      <c r="AT21" s="687">
        <f t="shared" si="11"/>
        <v>4743</v>
      </c>
      <c r="AU21" s="687">
        <f t="shared" si="11"/>
        <v>3269</v>
      </c>
      <c r="AV21" s="687">
        <f t="shared" si="11"/>
        <v>4302</v>
      </c>
      <c r="AW21" s="687">
        <f t="shared" si="11"/>
        <v>5908</v>
      </c>
      <c r="AX21" s="687">
        <f>SUM(K21,X21,AK21)</f>
        <v>2293</v>
      </c>
      <c r="AY21" s="687">
        <f t="shared" si="6"/>
        <v>2701</v>
      </c>
      <c r="AZ21" s="687">
        <f t="shared" si="7"/>
        <v>2059</v>
      </c>
      <c r="BA21" s="687">
        <f t="shared" si="8"/>
        <v>2439</v>
      </c>
      <c r="BB21" s="688">
        <f t="shared" si="9"/>
        <v>2680</v>
      </c>
      <c r="BC21" s="249">
        <f t="shared" si="1"/>
        <v>0.09881098810988109</v>
      </c>
      <c r="BD21" s="184" t="s">
        <v>67</v>
      </c>
    </row>
    <row r="22" spans="1:56" ht="12.75" customHeight="1">
      <c r="A22" s="8"/>
      <c r="B22" s="10" t="s">
        <v>46</v>
      </c>
      <c r="C22" s="702">
        <v>59</v>
      </c>
      <c r="D22" s="554">
        <v>66</v>
      </c>
      <c r="E22" s="666">
        <v>47</v>
      </c>
      <c r="F22" s="666">
        <v>61</v>
      </c>
      <c r="G22" s="666">
        <v>64</v>
      </c>
      <c r="H22" s="666">
        <v>41</v>
      </c>
      <c r="I22" s="666">
        <v>248</v>
      </c>
      <c r="J22" s="666">
        <v>44</v>
      </c>
      <c r="K22" s="666">
        <v>45</v>
      </c>
      <c r="L22" s="666">
        <v>64</v>
      </c>
      <c r="M22" s="666">
        <v>47</v>
      </c>
      <c r="N22" s="666">
        <v>82</v>
      </c>
      <c r="O22" s="677">
        <v>55</v>
      </c>
      <c r="P22" s="705" t="s">
        <v>80</v>
      </c>
      <c r="Q22" s="682" t="s">
        <v>80</v>
      </c>
      <c r="R22" s="682" t="s">
        <v>80</v>
      </c>
      <c r="S22" s="682" t="s">
        <v>80</v>
      </c>
      <c r="T22" s="682" t="s">
        <v>80</v>
      </c>
      <c r="U22" s="682" t="s">
        <v>80</v>
      </c>
      <c r="V22" s="682" t="s">
        <v>80</v>
      </c>
      <c r="W22" s="682" t="s">
        <v>80</v>
      </c>
      <c r="X22" s="682" t="s">
        <v>80</v>
      </c>
      <c r="Y22" s="682" t="s">
        <v>80</v>
      </c>
      <c r="Z22" s="682" t="s">
        <v>80</v>
      </c>
      <c r="AA22" s="682" t="s">
        <v>80</v>
      </c>
      <c r="AB22" s="682" t="s">
        <v>80</v>
      </c>
      <c r="AC22" s="705" t="s">
        <v>80</v>
      </c>
      <c r="AD22" s="682" t="s">
        <v>80</v>
      </c>
      <c r="AE22" s="682" t="s">
        <v>80</v>
      </c>
      <c r="AF22" s="682" t="s">
        <v>80</v>
      </c>
      <c r="AG22" s="682" t="s">
        <v>80</v>
      </c>
      <c r="AH22" s="682" t="s">
        <v>80</v>
      </c>
      <c r="AI22" s="682" t="s">
        <v>80</v>
      </c>
      <c r="AJ22" s="682" t="s">
        <v>80</v>
      </c>
      <c r="AK22" s="682" t="s">
        <v>80</v>
      </c>
      <c r="AL22" s="682" t="s">
        <v>80</v>
      </c>
      <c r="AM22" s="682" t="s">
        <v>80</v>
      </c>
      <c r="AN22" s="682" t="s">
        <v>80</v>
      </c>
      <c r="AO22" s="682" t="s">
        <v>80</v>
      </c>
      <c r="AP22" s="666">
        <f aca="true" t="shared" si="12" ref="AP22:AZ22">C22</f>
        <v>59</v>
      </c>
      <c r="AQ22" s="666">
        <f t="shared" si="12"/>
        <v>66</v>
      </c>
      <c r="AR22" s="666">
        <f t="shared" si="12"/>
        <v>47</v>
      </c>
      <c r="AS22" s="666">
        <f t="shared" si="12"/>
        <v>61</v>
      </c>
      <c r="AT22" s="666">
        <f t="shared" si="12"/>
        <v>64</v>
      </c>
      <c r="AU22" s="666">
        <f t="shared" si="12"/>
        <v>41</v>
      </c>
      <c r="AV22" s="666">
        <f t="shared" si="12"/>
        <v>248</v>
      </c>
      <c r="AW22" s="683">
        <f t="shared" si="12"/>
        <v>44</v>
      </c>
      <c r="AX22" s="683">
        <f t="shared" si="12"/>
        <v>45</v>
      </c>
      <c r="AY22" s="683">
        <f t="shared" si="12"/>
        <v>64</v>
      </c>
      <c r="AZ22" s="683">
        <f t="shared" si="12"/>
        <v>47</v>
      </c>
      <c r="BA22" s="683">
        <v>37</v>
      </c>
      <c r="BB22" s="684">
        <f>O22</f>
        <v>55</v>
      </c>
      <c r="BC22" s="242">
        <f t="shared" si="1"/>
        <v>0.4864864864864864</v>
      </c>
      <c r="BD22" s="10" t="s">
        <v>46</v>
      </c>
    </row>
    <row r="23" spans="1:56" ht="18" customHeight="1">
      <c r="A23" s="8"/>
      <c r="B23" s="184" t="s">
        <v>50</v>
      </c>
      <c r="C23" s="706">
        <v>2</v>
      </c>
      <c r="D23" s="555">
        <v>13</v>
      </c>
      <c r="E23" s="687">
        <v>116</v>
      </c>
      <c r="F23" s="687">
        <v>154</v>
      </c>
      <c r="G23" s="687">
        <v>26</v>
      </c>
      <c r="H23" s="687">
        <v>5</v>
      </c>
      <c r="I23" s="687">
        <v>0</v>
      </c>
      <c r="J23" s="687">
        <v>1</v>
      </c>
      <c r="K23" s="687">
        <v>11</v>
      </c>
      <c r="L23" s="687">
        <v>2</v>
      </c>
      <c r="M23" s="687">
        <v>1</v>
      </c>
      <c r="N23" s="687">
        <v>0</v>
      </c>
      <c r="O23" s="688">
        <v>0</v>
      </c>
      <c r="P23" s="689">
        <v>151</v>
      </c>
      <c r="Q23" s="687">
        <v>127</v>
      </c>
      <c r="R23" s="687">
        <v>38</v>
      </c>
      <c r="S23" s="687">
        <v>29</v>
      </c>
      <c r="T23" s="687">
        <v>140</v>
      </c>
      <c r="U23" s="687">
        <v>30</v>
      </c>
      <c r="V23" s="687">
        <v>82</v>
      </c>
      <c r="W23" s="687">
        <v>170</v>
      </c>
      <c r="X23" s="687">
        <v>67</v>
      </c>
      <c r="Y23" s="687">
        <v>201</v>
      </c>
      <c r="Z23" s="687">
        <v>145</v>
      </c>
      <c r="AA23" s="687">
        <v>123</v>
      </c>
      <c r="AB23" s="688">
        <v>138</v>
      </c>
      <c r="AC23" s="689">
        <v>89</v>
      </c>
      <c r="AD23" s="687">
        <v>24</v>
      </c>
      <c r="AE23" s="687">
        <v>52</v>
      </c>
      <c r="AF23" s="687">
        <v>17</v>
      </c>
      <c r="AG23" s="687">
        <v>57</v>
      </c>
      <c r="AH23" s="687">
        <v>22</v>
      </c>
      <c r="AI23" s="687">
        <v>47</v>
      </c>
      <c r="AJ23" s="687">
        <v>16</v>
      </c>
      <c r="AK23" s="687">
        <v>9</v>
      </c>
      <c r="AL23" s="687">
        <v>25</v>
      </c>
      <c r="AM23" s="687">
        <v>57</v>
      </c>
      <c r="AN23" s="687">
        <v>119</v>
      </c>
      <c r="AO23" s="688">
        <v>43</v>
      </c>
      <c r="AP23" s="687">
        <f aca="true" t="shared" si="13" ref="AP23:AW25">C23+P23+AC23</f>
        <v>242</v>
      </c>
      <c r="AQ23" s="687">
        <f t="shared" si="13"/>
        <v>164</v>
      </c>
      <c r="AR23" s="687">
        <f t="shared" si="13"/>
        <v>206</v>
      </c>
      <c r="AS23" s="687">
        <f t="shared" si="13"/>
        <v>200</v>
      </c>
      <c r="AT23" s="687">
        <f t="shared" si="13"/>
        <v>223</v>
      </c>
      <c r="AU23" s="687">
        <f t="shared" si="13"/>
        <v>57</v>
      </c>
      <c r="AV23" s="687">
        <f t="shared" si="13"/>
        <v>129</v>
      </c>
      <c r="AW23" s="687">
        <f t="shared" si="13"/>
        <v>187</v>
      </c>
      <c r="AX23" s="687">
        <f aca="true" t="shared" si="14" ref="AX23:AX40">SUM(K23,X23,AK23)</f>
        <v>87</v>
      </c>
      <c r="AY23" s="687">
        <f aca="true" t="shared" si="15" ref="AY23:AY40">L23+Y23+AL23</f>
        <v>228</v>
      </c>
      <c r="AZ23" s="687">
        <f aca="true" t="shared" si="16" ref="AZ23:AZ40">M23+Z23+AM23</f>
        <v>203</v>
      </c>
      <c r="BA23" s="687">
        <f aca="true" t="shared" si="17" ref="BA23:BA40">N23+AA23+AN23</f>
        <v>242</v>
      </c>
      <c r="BB23" s="688">
        <f aca="true" t="shared" si="18" ref="BB23:BB40">O23+AB23+AO23</f>
        <v>181</v>
      </c>
      <c r="BC23" s="249">
        <f t="shared" si="1"/>
        <v>-0.2520661157024794</v>
      </c>
      <c r="BD23" s="184" t="s">
        <v>50</v>
      </c>
    </row>
    <row r="24" spans="1:56" ht="12.75" customHeight="1">
      <c r="A24" s="8"/>
      <c r="B24" s="10" t="s">
        <v>51</v>
      </c>
      <c r="C24" s="702">
        <v>219</v>
      </c>
      <c r="D24" s="554">
        <v>334</v>
      </c>
      <c r="E24" s="666">
        <v>189</v>
      </c>
      <c r="F24" s="666">
        <v>61</v>
      </c>
      <c r="G24" s="666">
        <v>95</v>
      </c>
      <c r="H24" s="666">
        <v>21</v>
      </c>
      <c r="I24" s="666">
        <v>4</v>
      </c>
      <c r="J24" s="666">
        <v>5</v>
      </c>
      <c r="K24" s="666"/>
      <c r="L24" s="666">
        <v>3</v>
      </c>
      <c r="M24" s="666">
        <v>3</v>
      </c>
      <c r="N24" s="666">
        <v>0</v>
      </c>
      <c r="O24" s="677">
        <v>0</v>
      </c>
      <c r="P24" s="669">
        <v>53</v>
      </c>
      <c r="Q24" s="666">
        <v>18</v>
      </c>
      <c r="R24" s="666">
        <v>30</v>
      </c>
      <c r="S24" s="666">
        <v>141</v>
      </c>
      <c r="T24" s="666">
        <v>95</v>
      </c>
      <c r="U24" s="666">
        <v>91</v>
      </c>
      <c r="V24" s="666">
        <v>86</v>
      </c>
      <c r="W24" s="666">
        <v>86</v>
      </c>
      <c r="X24" s="666">
        <v>106</v>
      </c>
      <c r="Y24" s="666">
        <v>125</v>
      </c>
      <c r="Z24" s="666">
        <v>163</v>
      </c>
      <c r="AA24" s="666">
        <v>166</v>
      </c>
      <c r="AB24" s="677">
        <v>213</v>
      </c>
      <c r="AC24" s="669">
        <v>67</v>
      </c>
      <c r="AD24" s="666">
        <v>80</v>
      </c>
      <c r="AE24" s="666">
        <v>60</v>
      </c>
      <c r="AF24" s="666">
        <v>25</v>
      </c>
      <c r="AG24" s="666">
        <v>4</v>
      </c>
      <c r="AH24" s="666">
        <v>1</v>
      </c>
      <c r="AI24" s="666">
        <v>4</v>
      </c>
      <c r="AJ24" s="666">
        <v>18</v>
      </c>
      <c r="AK24" s="666">
        <v>39</v>
      </c>
      <c r="AL24" s="666">
        <v>51</v>
      </c>
      <c r="AM24" s="666">
        <v>125</v>
      </c>
      <c r="AN24" s="666">
        <v>29</v>
      </c>
      <c r="AO24" s="677">
        <v>50</v>
      </c>
      <c r="AP24" s="666">
        <f t="shared" si="13"/>
        <v>339</v>
      </c>
      <c r="AQ24" s="666">
        <f t="shared" si="13"/>
        <v>432</v>
      </c>
      <c r="AR24" s="666">
        <f t="shared" si="13"/>
        <v>279</v>
      </c>
      <c r="AS24" s="666">
        <f t="shared" si="13"/>
        <v>227</v>
      </c>
      <c r="AT24" s="666">
        <f t="shared" si="13"/>
        <v>194</v>
      </c>
      <c r="AU24" s="666">
        <f t="shared" si="13"/>
        <v>113</v>
      </c>
      <c r="AV24" s="666">
        <f t="shared" si="13"/>
        <v>94</v>
      </c>
      <c r="AW24" s="666">
        <f t="shared" si="13"/>
        <v>109</v>
      </c>
      <c r="AX24" s="666">
        <f t="shared" si="14"/>
        <v>145</v>
      </c>
      <c r="AY24" s="666">
        <f t="shared" si="15"/>
        <v>179</v>
      </c>
      <c r="AZ24" s="666">
        <f t="shared" si="16"/>
        <v>291</v>
      </c>
      <c r="BA24" s="666">
        <f t="shared" si="17"/>
        <v>195</v>
      </c>
      <c r="BB24" s="677">
        <f t="shared" si="18"/>
        <v>263</v>
      </c>
      <c r="BC24" s="242">
        <f t="shared" si="1"/>
        <v>0.3487179487179488</v>
      </c>
      <c r="BD24" s="10" t="s">
        <v>51</v>
      </c>
    </row>
    <row r="25" spans="1:56" ht="12.75" customHeight="1">
      <c r="A25" s="8"/>
      <c r="B25" s="184" t="s">
        <v>68</v>
      </c>
      <c r="C25" s="706"/>
      <c r="D25" s="555"/>
      <c r="E25" s="687"/>
      <c r="F25" s="687"/>
      <c r="G25" s="687"/>
      <c r="H25" s="687"/>
      <c r="I25" s="687"/>
      <c r="J25" s="687"/>
      <c r="K25" s="687"/>
      <c r="L25" s="687"/>
      <c r="M25" s="687">
        <v>0</v>
      </c>
      <c r="N25" s="687">
        <v>0</v>
      </c>
      <c r="O25" s="688">
        <v>0</v>
      </c>
      <c r="P25" s="689">
        <v>16</v>
      </c>
      <c r="Q25" s="687">
        <v>22</v>
      </c>
      <c r="R25" s="687">
        <v>14</v>
      </c>
      <c r="S25" s="687">
        <v>20</v>
      </c>
      <c r="T25" s="687">
        <v>19</v>
      </c>
      <c r="U25" s="687">
        <v>34</v>
      </c>
      <c r="V25" s="687">
        <v>15</v>
      </c>
      <c r="W25" s="687">
        <v>26</v>
      </c>
      <c r="X25" s="687">
        <v>10</v>
      </c>
      <c r="Y25" s="687">
        <v>30</v>
      </c>
      <c r="Z25" s="687">
        <v>13</v>
      </c>
      <c r="AA25" s="687">
        <v>17</v>
      </c>
      <c r="AB25" s="688">
        <v>24</v>
      </c>
      <c r="AC25" s="689">
        <v>110</v>
      </c>
      <c r="AD25" s="687">
        <v>136</v>
      </c>
      <c r="AE25" s="687">
        <v>154</v>
      </c>
      <c r="AF25" s="687">
        <v>156</v>
      </c>
      <c r="AG25" s="687">
        <v>206</v>
      </c>
      <c r="AH25" s="687">
        <v>175</v>
      </c>
      <c r="AI25" s="687">
        <v>159</v>
      </c>
      <c r="AJ25" s="687">
        <v>162</v>
      </c>
      <c r="AK25" s="687">
        <v>149</v>
      </c>
      <c r="AL25" s="687">
        <v>141</v>
      </c>
      <c r="AM25" s="687">
        <v>146</v>
      </c>
      <c r="AN25" s="687">
        <v>234</v>
      </c>
      <c r="AO25" s="688">
        <v>172</v>
      </c>
      <c r="AP25" s="687">
        <f t="shared" si="13"/>
        <v>126</v>
      </c>
      <c r="AQ25" s="687">
        <f t="shared" si="13"/>
        <v>158</v>
      </c>
      <c r="AR25" s="687">
        <f t="shared" si="13"/>
        <v>168</v>
      </c>
      <c r="AS25" s="687">
        <f t="shared" si="13"/>
        <v>176</v>
      </c>
      <c r="AT25" s="687">
        <f t="shared" si="13"/>
        <v>225</v>
      </c>
      <c r="AU25" s="687">
        <f t="shared" si="13"/>
        <v>209</v>
      </c>
      <c r="AV25" s="687">
        <f t="shared" si="13"/>
        <v>174</v>
      </c>
      <c r="AW25" s="687">
        <f t="shared" si="13"/>
        <v>188</v>
      </c>
      <c r="AX25" s="687">
        <f t="shared" si="14"/>
        <v>159</v>
      </c>
      <c r="AY25" s="687">
        <f t="shared" si="15"/>
        <v>171</v>
      </c>
      <c r="AZ25" s="687">
        <f t="shared" si="16"/>
        <v>159</v>
      </c>
      <c r="BA25" s="687">
        <f t="shared" si="17"/>
        <v>251</v>
      </c>
      <c r="BB25" s="688">
        <f t="shared" si="18"/>
        <v>196</v>
      </c>
      <c r="BC25" s="249">
        <f t="shared" si="1"/>
        <v>-0.21912350597609564</v>
      </c>
      <c r="BD25" s="184" t="s">
        <v>68</v>
      </c>
    </row>
    <row r="26" spans="1:56" ht="12.75" customHeight="1">
      <c r="A26" s="8"/>
      <c r="B26" s="10" t="s">
        <v>49</v>
      </c>
      <c r="C26" s="702"/>
      <c r="D26" s="554"/>
      <c r="E26" s="666"/>
      <c r="F26" s="666"/>
      <c r="G26" s="666"/>
      <c r="H26" s="666"/>
      <c r="I26" s="666">
        <v>8</v>
      </c>
      <c r="J26" s="666">
        <v>3</v>
      </c>
      <c r="K26" s="666">
        <v>2</v>
      </c>
      <c r="L26" s="666">
        <v>7</v>
      </c>
      <c r="M26" s="666">
        <v>12</v>
      </c>
      <c r="N26" s="666">
        <v>7</v>
      </c>
      <c r="O26" s="677">
        <v>4</v>
      </c>
      <c r="P26" s="669"/>
      <c r="Q26" s="666"/>
      <c r="R26" s="666"/>
      <c r="S26" s="666"/>
      <c r="T26" s="666"/>
      <c r="U26" s="666"/>
      <c r="V26" s="666">
        <v>105</v>
      </c>
      <c r="W26" s="666">
        <v>52</v>
      </c>
      <c r="X26" s="666">
        <v>29</v>
      </c>
      <c r="Y26" s="666">
        <v>33</v>
      </c>
      <c r="Z26" s="666">
        <v>49</v>
      </c>
      <c r="AA26" s="666">
        <v>138</v>
      </c>
      <c r="AB26" s="677">
        <v>117</v>
      </c>
      <c r="AC26" s="669"/>
      <c r="AD26" s="666"/>
      <c r="AE26" s="666"/>
      <c r="AF26" s="666"/>
      <c r="AG26" s="666"/>
      <c r="AH26" s="666"/>
      <c r="AI26" s="666">
        <v>167</v>
      </c>
      <c r="AJ26" s="666">
        <v>97</v>
      </c>
      <c r="AK26" s="666">
        <v>19</v>
      </c>
      <c r="AL26" s="666">
        <v>392</v>
      </c>
      <c r="AM26" s="666">
        <v>406</v>
      </c>
      <c r="AN26" s="666">
        <v>401</v>
      </c>
      <c r="AO26" s="677">
        <v>290</v>
      </c>
      <c r="AP26" s="666"/>
      <c r="AQ26" s="666">
        <v>600</v>
      </c>
      <c r="AR26" s="666">
        <v>814</v>
      </c>
      <c r="AS26" s="666">
        <v>734</v>
      </c>
      <c r="AT26" s="666">
        <f aca="true" t="shared" si="19" ref="AT26:AT40">G26+T26+AG26</f>
        <v>0</v>
      </c>
      <c r="AU26" s="666">
        <f aca="true" t="shared" si="20" ref="AU26:AU40">H26+U26+AH26</f>
        <v>0</v>
      </c>
      <c r="AV26" s="666">
        <f aca="true" t="shared" si="21" ref="AV26:AV40">I26+V26+AI26</f>
        <v>280</v>
      </c>
      <c r="AW26" s="666">
        <f aca="true" t="shared" si="22" ref="AW26:AW40">J26+W26+AJ26</f>
        <v>152</v>
      </c>
      <c r="AX26" s="666">
        <f t="shared" si="14"/>
        <v>50</v>
      </c>
      <c r="AY26" s="666">
        <f t="shared" si="15"/>
        <v>432</v>
      </c>
      <c r="AZ26" s="666">
        <f t="shared" si="16"/>
        <v>467</v>
      </c>
      <c r="BA26" s="666">
        <f t="shared" si="17"/>
        <v>546</v>
      </c>
      <c r="BB26" s="677">
        <f t="shared" si="18"/>
        <v>411</v>
      </c>
      <c r="BC26" s="242">
        <f t="shared" si="1"/>
        <v>-0.24725274725274726</v>
      </c>
      <c r="BD26" s="10" t="s">
        <v>49</v>
      </c>
    </row>
    <row r="27" spans="1:56" ht="12.75" customHeight="1">
      <c r="A27" s="8"/>
      <c r="B27" s="184" t="s">
        <v>52</v>
      </c>
      <c r="C27" s="706">
        <v>21</v>
      </c>
      <c r="D27" s="555">
        <v>23</v>
      </c>
      <c r="E27" s="687">
        <v>10</v>
      </c>
      <c r="F27" s="687">
        <v>13</v>
      </c>
      <c r="G27" s="687">
        <v>21</v>
      </c>
      <c r="H27" s="687">
        <v>26</v>
      </c>
      <c r="I27" s="687">
        <v>15</v>
      </c>
      <c r="J27" s="687">
        <v>7</v>
      </c>
      <c r="K27" s="687">
        <v>10</v>
      </c>
      <c r="L27" s="687">
        <v>12</v>
      </c>
      <c r="M27" s="687">
        <v>8</v>
      </c>
      <c r="N27" s="687">
        <v>34</v>
      </c>
      <c r="O27" s="688">
        <v>32</v>
      </c>
      <c r="P27" s="689">
        <v>0</v>
      </c>
      <c r="Q27" s="687">
        <v>0</v>
      </c>
      <c r="R27" s="687">
        <v>0</v>
      </c>
      <c r="S27" s="687">
        <v>0</v>
      </c>
      <c r="T27" s="687">
        <v>0</v>
      </c>
      <c r="U27" s="687">
        <v>0</v>
      </c>
      <c r="V27" s="687">
        <v>0</v>
      </c>
      <c r="W27" s="687">
        <v>184</v>
      </c>
      <c r="X27" s="687">
        <v>0</v>
      </c>
      <c r="Y27" s="687">
        <v>0</v>
      </c>
      <c r="Z27" s="687">
        <v>0</v>
      </c>
      <c r="AA27" s="687">
        <v>143</v>
      </c>
      <c r="AB27" s="688">
        <v>33</v>
      </c>
      <c r="AC27" s="689">
        <v>0</v>
      </c>
      <c r="AD27" s="687">
        <v>0</v>
      </c>
      <c r="AE27" s="687">
        <v>0</v>
      </c>
      <c r="AF27" s="687">
        <v>0</v>
      </c>
      <c r="AG27" s="687">
        <v>1</v>
      </c>
      <c r="AH27" s="687">
        <v>4</v>
      </c>
      <c r="AI27" s="687">
        <v>8</v>
      </c>
      <c r="AJ27" s="687">
        <v>19</v>
      </c>
      <c r="AK27" s="687">
        <v>9</v>
      </c>
      <c r="AL27" s="687">
        <v>3</v>
      </c>
      <c r="AM27" s="687">
        <v>2</v>
      </c>
      <c r="AN27" s="687">
        <v>2</v>
      </c>
      <c r="AO27" s="688">
        <v>0</v>
      </c>
      <c r="AP27" s="687">
        <f aca="true" t="shared" si="23" ref="AP27:AS31">C27+P27+AC27</f>
        <v>21</v>
      </c>
      <c r="AQ27" s="687">
        <f t="shared" si="23"/>
        <v>23</v>
      </c>
      <c r="AR27" s="687">
        <f t="shared" si="23"/>
        <v>10</v>
      </c>
      <c r="AS27" s="687">
        <f t="shared" si="23"/>
        <v>13</v>
      </c>
      <c r="AT27" s="687">
        <f t="shared" si="19"/>
        <v>22</v>
      </c>
      <c r="AU27" s="687">
        <f t="shared" si="20"/>
        <v>30</v>
      </c>
      <c r="AV27" s="687">
        <f t="shared" si="21"/>
        <v>23</v>
      </c>
      <c r="AW27" s="687">
        <f t="shared" si="22"/>
        <v>210</v>
      </c>
      <c r="AX27" s="687">
        <f t="shared" si="14"/>
        <v>19</v>
      </c>
      <c r="AY27" s="687">
        <f t="shared" si="15"/>
        <v>15</v>
      </c>
      <c r="AZ27" s="687">
        <f t="shared" si="16"/>
        <v>10</v>
      </c>
      <c r="BA27" s="687">
        <f t="shared" si="17"/>
        <v>179</v>
      </c>
      <c r="BB27" s="688">
        <f t="shared" si="18"/>
        <v>65</v>
      </c>
      <c r="BC27" s="937">
        <f t="shared" si="1"/>
        <v>-0.6368715083798883</v>
      </c>
      <c r="BD27" s="184" t="s">
        <v>52</v>
      </c>
    </row>
    <row r="28" spans="1:56" ht="12.75" customHeight="1">
      <c r="A28" s="8"/>
      <c r="B28" s="10" t="s">
        <v>60</v>
      </c>
      <c r="C28" s="702">
        <v>7</v>
      </c>
      <c r="D28" s="554">
        <v>1</v>
      </c>
      <c r="E28" s="666">
        <v>4</v>
      </c>
      <c r="F28" s="666"/>
      <c r="G28" s="666"/>
      <c r="H28" s="666"/>
      <c r="I28" s="666"/>
      <c r="J28" s="666"/>
      <c r="K28" s="666"/>
      <c r="L28" s="666"/>
      <c r="M28" s="666"/>
      <c r="N28" s="666"/>
      <c r="O28" s="677">
        <v>0</v>
      </c>
      <c r="P28" s="669">
        <v>242</v>
      </c>
      <c r="Q28" s="666">
        <v>531</v>
      </c>
      <c r="R28" s="666">
        <v>47</v>
      </c>
      <c r="S28" s="666">
        <v>459</v>
      </c>
      <c r="T28" s="666">
        <v>487</v>
      </c>
      <c r="U28" s="666">
        <v>110</v>
      </c>
      <c r="V28" s="666">
        <v>260</v>
      </c>
      <c r="W28" s="666">
        <v>3</v>
      </c>
      <c r="X28" s="666">
        <v>79</v>
      </c>
      <c r="Y28" s="666">
        <v>48</v>
      </c>
      <c r="Z28" s="666">
        <v>131</v>
      </c>
      <c r="AA28" s="666">
        <v>53</v>
      </c>
      <c r="AB28" s="677">
        <v>233</v>
      </c>
      <c r="AC28" s="669">
        <v>691</v>
      </c>
      <c r="AD28" s="666">
        <v>612</v>
      </c>
      <c r="AE28" s="666">
        <v>745</v>
      </c>
      <c r="AF28" s="666">
        <v>699</v>
      </c>
      <c r="AG28" s="666">
        <v>724</v>
      </c>
      <c r="AH28" s="666">
        <v>1052</v>
      </c>
      <c r="AI28" s="666">
        <v>312</v>
      </c>
      <c r="AJ28" s="666">
        <v>226</v>
      </c>
      <c r="AK28" s="666">
        <v>705</v>
      </c>
      <c r="AL28" s="666">
        <v>547</v>
      </c>
      <c r="AM28" s="666">
        <v>538</v>
      </c>
      <c r="AN28" s="666">
        <v>291</v>
      </c>
      <c r="AO28" s="677">
        <v>607</v>
      </c>
      <c r="AP28" s="666">
        <f t="shared" si="23"/>
        <v>940</v>
      </c>
      <c r="AQ28" s="666">
        <f t="shared" si="23"/>
        <v>1144</v>
      </c>
      <c r="AR28" s="666">
        <f t="shared" si="23"/>
        <v>796</v>
      </c>
      <c r="AS28" s="666">
        <f t="shared" si="23"/>
        <v>1158</v>
      </c>
      <c r="AT28" s="666">
        <f t="shared" si="19"/>
        <v>1211</v>
      </c>
      <c r="AU28" s="666">
        <f t="shared" si="20"/>
        <v>1162</v>
      </c>
      <c r="AV28" s="666">
        <f t="shared" si="21"/>
        <v>572</v>
      </c>
      <c r="AW28" s="666">
        <f t="shared" si="22"/>
        <v>229</v>
      </c>
      <c r="AX28" s="666">
        <f t="shared" si="14"/>
        <v>784</v>
      </c>
      <c r="AY28" s="666">
        <f t="shared" si="15"/>
        <v>595</v>
      </c>
      <c r="AZ28" s="666">
        <f t="shared" si="16"/>
        <v>669</v>
      </c>
      <c r="BA28" s="666">
        <f t="shared" si="17"/>
        <v>344</v>
      </c>
      <c r="BB28" s="677">
        <f t="shared" si="18"/>
        <v>840</v>
      </c>
      <c r="BC28" s="242">
        <f t="shared" si="1"/>
        <v>1.441860465116279</v>
      </c>
      <c r="BD28" s="10" t="s">
        <v>60</v>
      </c>
    </row>
    <row r="29" spans="1:56" ht="12.75" customHeight="1">
      <c r="A29" s="8"/>
      <c r="B29" s="184" t="s">
        <v>69</v>
      </c>
      <c r="C29" s="706">
        <v>19</v>
      </c>
      <c r="D29" s="555">
        <v>28</v>
      </c>
      <c r="E29" s="687">
        <v>22</v>
      </c>
      <c r="F29" s="687">
        <v>13</v>
      </c>
      <c r="G29" s="687">
        <v>12</v>
      </c>
      <c r="H29" s="687"/>
      <c r="I29" s="687">
        <v>10</v>
      </c>
      <c r="J29" s="687">
        <v>6</v>
      </c>
      <c r="K29" s="687">
        <v>4</v>
      </c>
      <c r="L29" s="687">
        <v>6</v>
      </c>
      <c r="M29" s="687">
        <v>2</v>
      </c>
      <c r="N29" s="687">
        <v>3</v>
      </c>
      <c r="O29" s="688">
        <v>2</v>
      </c>
      <c r="P29" s="689">
        <v>145</v>
      </c>
      <c r="Q29" s="687">
        <v>124</v>
      </c>
      <c r="R29" s="687">
        <v>91</v>
      </c>
      <c r="S29" s="687">
        <v>100</v>
      </c>
      <c r="T29" s="687">
        <v>155</v>
      </c>
      <c r="U29" s="687">
        <v>116</v>
      </c>
      <c r="V29" s="687">
        <v>119</v>
      </c>
      <c r="W29" s="687">
        <v>109</v>
      </c>
      <c r="X29" s="687">
        <v>118</v>
      </c>
      <c r="Y29" s="687">
        <v>97</v>
      </c>
      <c r="Z29" s="687">
        <v>119</v>
      </c>
      <c r="AA29" s="687">
        <v>106</v>
      </c>
      <c r="AB29" s="688">
        <v>135</v>
      </c>
      <c r="AC29" s="689">
        <v>765</v>
      </c>
      <c r="AD29" s="687">
        <v>506</v>
      </c>
      <c r="AE29" s="687">
        <v>714</v>
      </c>
      <c r="AF29" s="687">
        <v>657</v>
      </c>
      <c r="AG29" s="687">
        <v>783</v>
      </c>
      <c r="AH29" s="687">
        <v>528</v>
      </c>
      <c r="AI29" s="687">
        <v>580</v>
      </c>
      <c r="AJ29" s="687">
        <v>487</v>
      </c>
      <c r="AK29" s="687">
        <v>610</v>
      </c>
      <c r="AL29" s="687">
        <v>610</v>
      </c>
      <c r="AM29" s="687">
        <v>779</v>
      </c>
      <c r="AN29" s="687">
        <v>790</v>
      </c>
      <c r="AO29" s="688">
        <v>906</v>
      </c>
      <c r="AP29" s="687">
        <f t="shared" si="23"/>
        <v>929</v>
      </c>
      <c r="AQ29" s="687">
        <f t="shared" si="23"/>
        <v>658</v>
      </c>
      <c r="AR29" s="687">
        <f t="shared" si="23"/>
        <v>827</v>
      </c>
      <c r="AS29" s="687">
        <f t="shared" si="23"/>
        <v>770</v>
      </c>
      <c r="AT29" s="687">
        <f t="shared" si="19"/>
        <v>950</v>
      </c>
      <c r="AU29" s="687">
        <f t="shared" si="20"/>
        <v>644</v>
      </c>
      <c r="AV29" s="687">
        <f t="shared" si="21"/>
        <v>709</v>
      </c>
      <c r="AW29" s="687">
        <f t="shared" si="22"/>
        <v>602</v>
      </c>
      <c r="AX29" s="687">
        <f t="shared" si="14"/>
        <v>732</v>
      </c>
      <c r="AY29" s="687">
        <f t="shared" si="15"/>
        <v>713</v>
      </c>
      <c r="AZ29" s="687">
        <f t="shared" si="16"/>
        <v>900</v>
      </c>
      <c r="BA29" s="687">
        <f t="shared" si="17"/>
        <v>899</v>
      </c>
      <c r="BB29" s="688">
        <f t="shared" si="18"/>
        <v>1043</v>
      </c>
      <c r="BC29" s="249">
        <f t="shared" si="1"/>
        <v>0.16017797552836477</v>
      </c>
      <c r="BD29" s="184" t="s">
        <v>69</v>
      </c>
    </row>
    <row r="30" spans="1:56" ht="12.75" customHeight="1">
      <c r="A30" s="8"/>
      <c r="B30" s="10" t="s">
        <v>53</v>
      </c>
      <c r="C30" s="702">
        <v>1841</v>
      </c>
      <c r="D30" s="554">
        <v>1505</v>
      </c>
      <c r="E30" s="666">
        <v>1501</v>
      </c>
      <c r="F30" s="666">
        <v>2352</v>
      </c>
      <c r="G30" s="666">
        <v>2891</v>
      </c>
      <c r="H30" s="666">
        <v>1817</v>
      </c>
      <c r="I30" s="666">
        <v>1877</v>
      </c>
      <c r="J30" s="666">
        <v>1555</v>
      </c>
      <c r="K30" s="666">
        <v>1713</v>
      </c>
      <c r="L30" s="666">
        <v>2633</v>
      </c>
      <c r="M30" s="666">
        <v>3071</v>
      </c>
      <c r="N30" s="666">
        <v>4298</v>
      </c>
      <c r="O30" s="1002">
        <v>3</v>
      </c>
      <c r="P30" s="669"/>
      <c r="Q30" s="666"/>
      <c r="R30" s="666"/>
      <c r="S30" s="666">
        <v>0</v>
      </c>
      <c r="T30" s="666">
        <v>0</v>
      </c>
      <c r="U30" s="666">
        <v>2</v>
      </c>
      <c r="V30" s="666">
        <v>21</v>
      </c>
      <c r="W30" s="666">
        <v>0</v>
      </c>
      <c r="X30" s="666">
        <v>352</v>
      </c>
      <c r="Y30" s="666">
        <v>435</v>
      </c>
      <c r="Z30" s="666">
        <v>546</v>
      </c>
      <c r="AA30" s="666">
        <v>1398</v>
      </c>
      <c r="AB30" s="677">
        <v>1068</v>
      </c>
      <c r="AC30" s="669"/>
      <c r="AD30" s="666"/>
      <c r="AE30" s="666"/>
      <c r="AF30" s="666"/>
      <c r="AG30" s="666"/>
      <c r="AH30" s="666"/>
      <c r="AI30" s="666"/>
      <c r="AJ30" s="666"/>
      <c r="AK30" s="666"/>
      <c r="AL30" s="666"/>
      <c r="AM30" s="666"/>
      <c r="AN30" s="666"/>
      <c r="AO30" s="677"/>
      <c r="AP30" s="666">
        <f t="shared" si="23"/>
        <v>1841</v>
      </c>
      <c r="AQ30" s="666">
        <f t="shared" si="23"/>
        <v>1505</v>
      </c>
      <c r="AR30" s="666">
        <f t="shared" si="23"/>
        <v>1501</v>
      </c>
      <c r="AS30" s="666">
        <f t="shared" si="23"/>
        <v>2352</v>
      </c>
      <c r="AT30" s="666">
        <f t="shared" si="19"/>
        <v>2891</v>
      </c>
      <c r="AU30" s="666">
        <f t="shared" si="20"/>
        <v>1819</v>
      </c>
      <c r="AV30" s="666">
        <f t="shared" si="21"/>
        <v>1898</v>
      </c>
      <c r="AW30" s="666">
        <f t="shared" si="22"/>
        <v>1555</v>
      </c>
      <c r="AX30" s="666">
        <f t="shared" si="14"/>
        <v>2065</v>
      </c>
      <c r="AY30" s="666">
        <f t="shared" si="15"/>
        <v>3068</v>
      </c>
      <c r="AZ30" s="666">
        <f t="shared" si="16"/>
        <v>3617</v>
      </c>
      <c r="BA30" s="666">
        <f t="shared" si="17"/>
        <v>5696</v>
      </c>
      <c r="BB30" s="1002">
        <f t="shared" si="18"/>
        <v>1071</v>
      </c>
      <c r="BC30" s="242">
        <f t="shared" si="1"/>
        <v>-0.8119733146067416</v>
      </c>
      <c r="BD30" s="10" t="s">
        <v>53</v>
      </c>
    </row>
    <row r="31" spans="1:56" ht="12.75" customHeight="1">
      <c r="A31" s="8"/>
      <c r="B31" s="184" t="s">
        <v>70</v>
      </c>
      <c r="C31" s="706">
        <v>393</v>
      </c>
      <c r="D31" s="555">
        <v>298</v>
      </c>
      <c r="E31" s="687">
        <v>140</v>
      </c>
      <c r="F31" s="687"/>
      <c r="G31" s="687"/>
      <c r="H31" s="687"/>
      <c r="I31" s="687"/>
      <c r="J31" s="687"/>
      <c r="K31" s="687"/>
      <c r="L31" s="687">
        <v>2</v>
      </c>
      <c r="M31" s="687">
        <v>5</v>
      </c>
      <c r="N31" s="687">
        <v>5</v>
      </c>
      <c r="O31" s="688">
        <v>0</v>
      </c>
      <c r="P31" s="689">
        <v>331</v>
      </c>
      <c r="Q31" s="687">
        <v>323</v>
      </c>
      <c r="R31" s="687">
        <v>312</v>
      </c>
      <c r="S31" s="687">
        <v>407</v>
      </c>
      <c r="T31" s="687">
        <v>438</v>
      </c>
      <c r="U31" s="687">
        <v>311</v>
      </c>
      <c r="V31" s="687">
        <v>238</v>
      </c>
      <c r="W31" s="687">
        <v>151</v>
      </c>
      <c r="X31" s="687">
        <v>94</v>
      </c>
      <c r="Y31" s="687">
        <v>51</v>
      </c>
      <c r="Z31" s="687">
        <v>97</v>
      </c>
      <c r="AA31" s="687">
        <v>101</v>
      </c>
      <c r="AB31" s="688">
        <v>148</v>
      </c>
      <c r="AC31" s="689">
        <v>310</v>
      </c>
      <c r="AD31" s="687">
        <v>405</v>
      </c>
      <c r="AE31" s="687">
        <v>267</v>
      </c>
      <c r="AF31" s="687">
        <v>320</v>
      </c>
      <c r="AG31" s="687">
        <v>358</v>
      </c>
      <c r="AH31" s="687">
        <v>318</v>
      </c>
      <c r="AI31" s="687">
        <v>254</v>
      </c>
      <c r="AJ31" s="687">
        <v>187</v>
      </c>
      <c r="AK31" s="687">
        <v>133</v>
      </c>
      <c r="AL31" s="687">
        <v>119</v>
      </c>
      <c r="AM31" s="687">
        <v>135</v>
      </c>
      <c r="AN31" s="687">
        <v>146</v>
      </c>
      <c r="AO31" s="688">
        <v>222</v>
      </c>
      <c r="AP31" s="687">
        <f t="shared" si="23"/>
        <v>1034</v>
      </c>
      <c r="AQ31" s="687">
        <f t="shared" si="23"/>
        <v>1026</v>
      </c>
      <c r="AR31" s="687">
        <f t="shared" si="23"/>
        <v>719</v>
      </c>
      <c r="AS31" s="687">
        <f t="shared" si="23"/>
        <v>727</v>
      </c>
      <c r="AT31" s="687">
        <f t="shared" si="19"/>
        <v>796</v>
      </c>
      <c r="AU31" s="687">
        <f t="shared" si="20"/>
        <v>629</v>
      </c>
      <c r="AV31" s="687">
        <f t="shared" si="21"/>
        <v>492</v>
      </c>
      <c r="AW31" s="687">
        <f t="shared" si="22"/>
        <v>338</v>
      </c>
      <c r="AX31" s="687">
        <f t="shared" si="14"/>
        <v>227</v>
      </c>
      <c r="AY31" s="687">
        <f t="shared" si="15"/>
        <v>172</v>
      </c>
      <c r="AZ31" s="687">
        <f t="shared" si="16"/>
        <v>237</v>
      </c>
      <c r="BA31" s="687">
        <f t="shared" si="17"/>
        <v>252</v>
      </c>
      <c r="BB31" s="688">
        <f t="shared" si="18"/>
        <v>370</v>
      </c>
      <c r="BC31" s="249">
        <f t="shared" si="1"/>
        <v>0.46825396825396814</v>
      </c>
      <c r="BD31" s="184" t="s">
        <v>70</v>
      </c>
    </row>
    <row r="32" spans="1:56" ht="12.75" customHeight="1">
      <c r="A32" s="8"/>
      <c r="B32" s="10" t="s">
        <v>54</v>
      </c>
      <c r="C32" s="702"/>
      <c r="D32" s="554"/>
      <c r="E32" s="666">
        <v>1161</v>
      </c>
      <c r="F32" s="666">
        <v>1790</v>
      </c>
      <c r="G32" s="666">
        <v>2686</v>
      </c>
      <c r="H32" s="666">
        <v>877</v>
      </c>
      <c r="I32" s="666">
        <v>717</v>
      </c>
      <c r="J32" s="666">
        <v>688</v>
      </c>
      <c r="K32" s="666">
        <v>618</v>
      </c>
      <c r="L32" s="666">
        <v>634</v>
      </c>
      <c r="M32" s="666">
        <v>480</v>
      </c>
      <c r="N32" s="679">
        <v>43</v>
      </c>
      <c r="O32" s="677">
        <v>12</v>
      </c>
      <c r="P32" s="669"/>
      <c r="Q32" s="666"/>
      <c r="R32" s="666">
        <v>519</v>
      </c>
      <c r="S32" s="666">
        <v>674</v>
      </c>
      <c r="T32" s="666">
        <v>522</v>
      </c>
      <c r="U32" s="666">
        <v>8</v>
      </c>
      <c r="V32" s="666">
        <v>8</v>
      </c>
      <c r="W32" s="666">
        <v>46</v>
      </c>
      <c r="X32" s="666">
        <v>109</v>
      </c>
      <c r="Y32" s="666">
        <v>474</v>
      </c>
      <c r="Z32" s="666">
        <v>630</v>
      </c>
      <c r="AA32" s="679">
        <v>2251</v>
      </c>
      <c r="AB32" s="677">
        <v>1007</v>
      </c>
      <c r="AC32" s="669"/>
      <c r="AD32" s="666"/>
      <c r="AE32" s="666">
        <v>828</v>
      </c>
      <c r="AF32" s="666">
        <v>525</v>
      </c>
      <c r="AG32" s="666">
        <v>968</v>
      </c>
      <c r="AH32" s="666">
        <v>204</v>
      </c>
      <c r="AI32" s="666">
        <v>97</v>
      </c>
      <c r="AJ32" s="666">
        <v>48</v>
      </c>
      <c r="AK32" s="666">
        <v>14</v>
      </c>
      <c r="AL32" s="666">
        <v>30</v>
      </c>
      <c r="AM32" s="666">
        <v>53</v>
      </c>
      <c r="AN32" s="666">
        <v>181</v>
      </c>
      <c r="AO32" s="677">
        <v>106</v>
      </c>
      <c r="AP32" s="666"/>
      <c r="AQ32" s="666"/>
      <c r="AR32" s="666">
        <f aca="true" t="shared" si="24" ref="AR32:AR40">E32+R32+AE32</f>
        <v>2508</v>
      </c>
      <c r="AS32" s="666">
        <f aca="true" t="shared" si="25" ref="AS32:AS40">F32+S32+AF32</f>
        <v>2989</v>
      </c>
      <c r="AT32" s="666">
        <f t="shared" si="19"/>
        <v>4176</v>
      </c>
      <c r="AU32" s="666">
        <f t="shared" si="20"/>
        <v>1089</v>
      </c>
      <c r="AV32" s="666">
        <f t="shared" si="21"/>
        <v>822</v>
      </c>
      <c r="AW32" s="666">
        <f t="shared" si="22"/>
        <v>782</v>
      </c>
      <c r="AX32" s="666">
        <f t="shared" si="14"/>
        <v>741</v>
      </c>
      <c r="AY32" s="666">
        <f t="shared" si="15"/>
        <v>1138</v>
      </c>
      <c r="AZ32" s="666">
        <f t="shared" si="16"/>
        <v>1163</v>
      </c>
      <c r="BA32" s="666">
        <f t="shared" si="17"/>
        <v>2475</v>
      </c>
      <c r="BB32" s="677">
        <f t="shared" si="18"/>
        <v>1125</v>
      </c>
      <c r="BC32" s="242">
        <f t="shared" si="1"/>
        <v>-0.5454545454545454</v>
      </c>
      <c r="BD32" s="10" t="s">
        <v>54</v>
      </c>
    </row>
    <row r="33" spans="1:56" ht="12.75" customHeight="1">
      <c r="A33" s="8"/>
      <c r="B33" s="184" t="s">
        <v>56</v>
      </c>
      <c r="C33" s="706">
        <v>12</v>
      </c>
      <c r="D33" s="555">
        <v>16</v>
      </c>
      <c r="E33" s="687">
        <v>16</v>
      </c>
      <c r="F33" s="687">
        <v>9</v>
      </c>
      <c r="G33" s="687">
        <v>8</v>
      </c>
      <c r="H33" s="687">
        <v>9</v>
      </c>
      <c r="I33" s="687">
        <v>1</v>
      </c>
      <c r="J33" s="687">
        <v>0</v>
      </c>
      <c r="K33" s="687">
        <v>2</v>
      </c>
      <c r="L33" s="687"/>
      <c r="M33" s="687">
        <v>2</v>
      </c>
      <c r="N33" s="687">
        <v>2</v>
      </c>
      <c r="O33" s="688">
        <v>1</v>
      </c>
      <c r="P33" s="689">
        <v>29</v>
      </c>
      <c r="Q33" s="687">
        <v>21</v>
      </c>
      <c r="R33" s="687">
        <v>24</v>
      </c>
      <c r="S33" s="687">
        <v>41</v>
      </c>
      <c r="T33" s="687">
        <v>59</v>
      </c>
      <c r="U33" s="687">
        <v>51</v>
      </c>
      <c r="V33" s="687">
        <v>46</v>
      </c>
      <c r="W33" s="687">
        <v>45</v>
      </c>
      <c r="X33" s="687">
        <v>59</v>
      </c>
      <c r="Y33" s="687">
        <v>46</v>
      </c>
      <c r="Z33" s="687">
        <v>65</v>
      </c>
      <c r="AA33" s="687">
        <v>75</v>
      </c>
      <c r="AB33" s="688">
        <v>61</v>
      </c>
      <c r="AC33" s="689">
        <v>88</v>
      </c>
      <c r="AD33" s="687">
        <v>77</v>
      </c>
      <c r="AE33" s="687">
        <v>108</v>
      </c>
      <c r="AF33" s="687">
        <v>99</v>
      </c>
      <c r="AG33" s="687">
        <v>131</v>
      </c>
      <c r="AH33" s="687">
        <v>75</v>
      </c>
      <c r="AI33" s="687">
        <v>96</v>
      </c>
      <c r="AJ33" s="687">
        <v>78</v>
      </c>
      <c r="AK33" s="687">
        <v>33</v>
      </c>
      <c r="AL33" s="687">
        <v>108</v>
      </c>
      <c r="AM33" s="687">
        <v>103</v>
      </c>
      <c r="AN33" s="687">
        <v>88</v>
      </c>
      <c r="AO33" s="688">
        <v>127</v>
      </c>
      <c r="AP33" s="687">
        <f aca="true" t="shared" si="26" ref="AP33:AQ40">C33+P33+AC33</f>
        <v>129</v>
      </c>
      <c r="AQ33" s="687">
        <f t="shared" si="26"/>
        <v>114</v>
      </c>
      <c r="AR33" s="687">
        <f t="shared" si="24"/>
        <v>148</v>
      </c>
      <c r="AS33" s="687">
        <f t="shared" si="25"/>
        <v>149</v>
      </c>
      <c r="AT33" s="687">
        <f t="shared" si="19"/>
        <v>198</v>
      </c>
      <c r="AU33" s="687">
        <f t="shared" si="20"/>
        <v>135</v>
      </c>
      <c r="AV33" s="687">
        <f t="shared" si="21"/>
        <v>143</v>
      </c>
      <c r="AW33" s="687">
        <f t="shared" si="22"/>
        <v>123</v>
      </c>
      <c r="AX33" s="687">
        <f t="shared" si="14"/>
        <v>94</v>
      </c>
      <c r="AY33" s="687">
        <f t="shared" si="15"/>
        <v>154</v>
      </c>
      <c r="AZ33" s="687">
        <f t="shared" si="16"/>
        <v>170</v>
      </c>
      <c r="BA33" s="687">
        <f t="shared" si="17"/>
        <v>165</v>
      </c>
      <c r="BB33" s="688">
        <f t="shared" si="18"/>
        <v>189</v>
      </c>
      <c r="BC33" s="249">
        <f t="shared" si="1"/>
        <v>0.1454545454545455</v>
      </c>
      <c r="BD33" s="184" t="s">
        <v>56</v>
      </c>
    </row>
    <row r="34" spans="1:56" ht="12.75" customHeight="1">
      <c r="A34" s="8"/>
      <c r="B34" s="10" t="s">
        <v>55</v>
      </c>
      <c r="C34" s="702">
        <v>0</v>
      </c>
      <c r="D34" s="554">
        <v>2</v>
      </c>
      <c r="E34" s="666">
        <v>2</v>
      </c>
      <c r="F34" s="666"/>
      <c r="G34" s="666">
        <v>5</v>
      </c>
      <c r="H34" s="666">
        <v>7</v>
      </c>
      <c r="I34" s="666">
        <v>0</v>
      </c>
      <c r="J34" s="666">
        <v>0</v>
      </c>
      <c r="K34" s="666"/>
      <c r="L34" s="666"/>
      <c r="M34" s="666"/>
      <c r="N34" s="666"/>
      <c r="O34" s="677"/>
      <c r="P34" s="669">
        <v>70</v>
      </c>
      <c r="Q34" s="666">
        <v>133</v>
      </c>
      <c r="R34" s="666">
        <v>199</v>
      </c>
      <c r="S34" s="666">
        <v>145</v>
      </c>
      <c r="T34" s="666">
        <v>246</v>
      </c>
      <c r="U34" s="666">
        <v>225</v>
      </c>
      <c r="V34" s="666">
        <v>105</v>
      </c>
      <c r="W34" s="666">
        <v>69</v>
      </c>
      <c r="X34" s="666">
        <v>99</v>
      </c>
      <c r="Y34" s="666">
        <v>82</v>
      </c>
      <c r="Z34" s="666">
        <v>89</v>
      </c>
      <c r="AA34" s="679">
        <v>379</v>
      </c>
      <c r="AB34" s="677">
        <v>364</v>
      </c>
      <c r="AC34" s="669">
        <v>186</v>
      </c>
      <c r="AD34" s="666">
        <v>142</v>
      </c>
      <c r="AE34" s="666">
        <v>319</v>
      </c>
      <c r="AF34" s="666">
        <v>188</v>
      </c>
      <c r="AG34" s="666">
        <v>345</v>
      </c>
      <c r="AH34" s="666">
        <v>442</v>
      </c>
      <c r="AI34" s="666">
        <v>323</v>
      </c>
      <c r="AJ34" s="666">
        <v>235</v>
      </c>
      <c r="AK34" s="666">
        <v>180</v>
      </c>
      <c r="AL34" s="666">
        <v>184</v>
      </c>
      <c r="AM34" s="666">
        <v>358</v>
      </c>
      <c r="AN34" s="682" t="s">
        <v>80</v>
      </c>
      <c r="AO34" s="682" t="s">
        <v>80</v>
      </c>
      <c r="AP34" s="669">
        <f t="shared" si="26"/>
        <v>256</v>
      </c>
      <c r="AQ34" s="666">
        <f t="shared" si="26"/>
        <v>277</v>
      </c>
      <c r="AR34" s="666">
        <f t="shared" si="24"/>
        <v>520</v>
      </c>
      <c r="AS34" s="666">
        <f t="shared" si="25"/>
        <v>333</v>
      </c>
      <c r="AT34" s="666">
        <f t="shared" si="19"/>
        <v>596</v>
      </c>
      <c r="AU34" s="666">
        <f t="shared" si="20"/>
        <v>674</v>
      </c>
      <c r="AV34" s="666">
        <f t="shared" si="21"/>
        <v>428</v>
      </c>
      <c r="AW34" s="666">
        <f t="shared" si="22"/>
        <v>304</v>
      </c>
      <c r="AX34" s="666">
        <f t="shared" si="14"/>
        <v>279</v>
      </c>
      <c r="AY34" s="666">
        <f t="shared" si="15"/>
        <v>266</v>
      </c>
      <c r="AZ34" s="666">
        <f t="shared" si="16"/>
        <v>447</v>
      </c>
      <c r="BA34" s="679">
        <f t="shared" si="17"/>
        <v>378</v>
      </c>
      <c r="BB34" s="677">
        <f t="shared" si="18"/>
        <v>363</v>
      </c>
      <c r="BC34" s="242">
        <f>BB34/BA34-1</f>
        <v>-0.03968253968253965</v>
      </c>
      <c r="BD34" s="10" t="s">
        <v>55</v>
      </c>
    </row>
    <row r="35" spans="1:56" ht="12.75" customHeight="1">
      <c r="A35" s="8"/>
      <c r="B35" s="184" t="s">
        <v>71</v>
      </c>
      <c r="C35" s="706">
        <v>98</v>
      </c>
      <c r="D35" s="555">
        <v>81</v>
      </c>
      <c r="E35" s="687">
        <v>89</v>
      </c>
      <c r="F35" s="687">
        <v>86</v>
      </c>
      <c r="G35" s="687">
        <v>72</v>
      </c>
      <c r="H35" s="687">
        <v>21</v>
      </c>
      <c r="I35" s="687">
        <v>16</v>
      </c>
      <c r="J35" s="687">
        <v>14</v>
      </c>
      <c r="K35" s="687">
        <v>17</v>
      </c>
      <c r="L35" s="687">
        <v>4</v>
      </c>
      <c r="M35" s="687">
        <v>5</v>
      </c>
      <c r="N35" s="687">
        <v>2</v>
      </c>
      <c r="O35" s="688">
        <v>6</v>
      </c>
      <c r="P35" s="689">
        <v>155</v>
      </c>
      <c r="Q35" s="687">
        <v>125</v>
      </c>
      <c r="R35" s="687">
        <v>127</v>
      </c>
      <c r="S35" s="687">
        <v>163</v>
      </c>
      <c r="T35" s="687">
        <v>261</v>
      </c>
      <c r="U35" s="687">
        <v>302</v>
      </c>
      <c r="V35" s="687">
        <v>247</v>
      </c>
      <c r="W35" s="687">
        <v>196</v>
      </c>
      <c r="X35" s="687">
        <v>258</v>
      </c>
      <c r="Y35" s="687">
        <v>211</v>
      </c>
      <c r="Z35" s="687">
        <v>395</v>
      </c>
      <c r="AA35" s="687">
        <v>276</v>
      </c>
      <c r="AB35" s="688">
        <v>315</v>
      </c>
      <c r="AC35" s="689">
        <v>256</v>
      </c>
      <c r="AD35" s="687">
        <v>207</v>
      </c>
      <c r="AE35" s="687">
        <v>222</v>
      </c>
      <c r="AF35" s="687">
        <v>247</v>
      </c>
      <c r="AG35" s="687">
        <v>270</v>
      </c>
      <c r="AH35" s="687">
        <v>266</v>
      </c>
      <c r="AI35" s="687">
        <v>256</v>
      </c>
      <c r="AJ35" s="687">
        <v>191</v>
      </c>
      <c r="AK35" s="687">
        <v>264</v>
      </c>
      <c r="AL35" s="687">
        <v>172</v>
      </c>
      <c r="AM35" s="687">
        <v>291</v>
      </c>
      <c r="AN35" s="687">
        <v>246</v>
      </c>
      <c r="AO35" s="688">
        <v>264</v>
      </c>
      <c r="AP35" s="687">
        <f t="shared" si="26"/>
        <v>509</v>
      </c>
      <c r="AQ35" s="687">
        <f t="shared" si="26"/>
        <v>413</v>
      </c>
      <c r="AR35" s="687">
        <f t="shared" si="24"/>
        <v>438</v>
      </c>
      <c r="AS35" s="687">
        <f t="shared" si="25"/>
        <v>496</v>
      </c>
      <c r="AT35" s="687">
        <f t="shared" si="19"/>
        <v>603</v>
      </c>
      <c r="AU35" s="687">
        <f t="shared" si="20"/>
        <v>589</v>
      </c>
      <c r="AV35" s="687">
        <f t="shared" si="21"/>
        <v>519</v>
      </c>
      <c r="AW35" s="687">
        <f t="shared" si="22"/>
        <v>401</v>
      </c>
      <c r="AX35" s="687">
        <f t="shared" si="14"/>
        <v>539</v>
      </c>
      <c r="AY35" s="687">
        <f t="shared" si="15"/>
        <v>387</v>
      </c>
      <c r="AZ35" s="687">
        <f t="shared" si="16"/>
        <v>691</v>
      </c>
      <c r="BA35" s="687">
        <f t="shared" si="17"/>
        <v>524</v>
      </c>
      <c r="BB35" s="688">
        <f t="shared" si="18"/>
        <v>585</v>
      </c>
      <c r="BC35" s="249">
        <f t="shared" si="1"/>
        <v>0.11641221374045796</v>
      </c>
      <c r="BD35" s="184" t="s">
        <v>71</v>
      </c>
    </row>
    <row r="36" spans="1:56" ht="12.75" customHeight="1">
      <c r="A36" s="8"/>
      <c r="B36" s="10" t="s">
        <v>72</v>
      </c>
      <c r="C36" s="702">
        <v>134</v>
      </c>
      <c r="D36" s="554">
        <v>30</v>
      </c>
      <c r="E36" s="666">
        <v>84</v>
      </c>
      <c r="F36" s="666">
        <v>90</v>
      </c>
      <c r="G36" s="666">
        <v>134</v>
      </c>
      <c r="H36" s="666">
        <v>134</v>
      </c>
      <c r="I36" s="666">
        <v>235</v>
      </c>
      <c r="J36" s="666">
        <v>161</v>
      </c>
      <c r="K36" s="666">
        <v>135</v>
      </c>
      <c r="L36" s="666">
        <v>71</v>
      </c>
      <c r="M36" s="666"/>
      <c r="N36" s="666"/>
      <c r="O36" s="677">
        <v>3</v>
      </c>
      <c r="P36" s="669">
        <v>338</v>
      </c>
      <c r="Q36" s="666">
        <v>290</v>
      </c>
      <c r="R36" s="666">
        <v>330</v>
      </c>
      <c r="S36" s="666">
        <v>205</v>
      </c>
      <c r="T36" s="666">
        <v>396</v>
      </c>
      <c r="U36" s="666">
        <v>260</v>
      </c>
      <c r="V36" s="666">
        <v>317</v>
      </c>
      <c r="W36" s="666">
        <v>200</v>
      </c>
      <c r="X36" s="666">
        <v>363</v>
      </c>
      <c r="Y36" s="666">
        <v>304</v>
      </c>
      <c r="Z36" s="666">
        <v>275</v>
      </c>
      <c r="AA36" s="666">
        <v>334</v>
      </c>
      <c r="AB36" s="677">
        <v>333</v>
      </c>
      <c r="AC36" s="669">
        <v>661</v>
      </c>
      <c r="AD36" s="666">
        <v>852</v>
      </c>
      <c r="AE36" s="666">
        <v>934</v>
      </c>
      <c r="AF36" s="666">
        <v>696</v>
      </c>
      <c r="AG36" s="666">
        <v>680</v>
      </c>
      <c r="AH36" s="666">
        <v>782</v>
      </c>
      <c r="AI36" s="666">
        <v>1105</v>
      </c>
      <c r="AJ36" s="666">
        <v>1269</v>
      </c>
      <c r="AK36" s="666">
        <v>1020</v>
      </c>
      <c r="AL36" s="666">
        <v>1007</v>
      </c>
      <c r="AM36" s="666">
        <v>1060</v>
      </c>
      <c r="AN36" s="666">
        <v>996</v>
      </c>
      <c r="AO36" s="677">
        <v>997</v>
      </c>
      <c r="AP36" s="666">
        <f t="shared" si="26"/>
        <v>1133</v>
      </c>
      <c r="AQ36" s="666">
        <f t="shared" si="26"/>
        <v>1172</v>
      </c>
      <c r="AR36" s="666">
        <f t="shared" si="24"/>
        <v>1348</v>
      </c>
      <c r="AS36" s="666">
        <f t="shared" si="25"/>
        <v>991</v>
      </c>
      <c r="AT36" s="666">
        <f t="shared" si="19"/>
        <v>1210</v>
      </c>
      <c r="AU36" s="666">
        <f t="shared" si="20"/>
        <v>1176</v>
      </c>
      <c r="AV36" s="666">
        <f t="shared" si="21"/>
        <v>1657</v>
      </c>
      <c r="AW36" s="666">
        <f t="shared" si="22"/>
        <v>1630</v>
      </c>
      <c r="AX36" s="666">
        <f t="shared" si="14"/>
        <v>1518</v>
      </c>
      <c r="AY36" s="666">
        <f t="shared" si="15"/>
        <v>1382</v>
      </c>
      <c r="AZ36" s="666">
        <f t="shared" si="16"/>
        <v>1335</v>
      </c>
      <c r="BA36" s="666">
        <f t="shared" si="17"/>
        <v>1330</v>
      </c>
      <c r="BB36" s="677">
        <f t="shared" si="18"/>
        <v>1333</v>
      </c>
      <c r="BC36" s="242">
        <f>BB36/BA36-1</f>
        <v>0.0022556390977443996</v>
      </c>
      <c r="BD36" s="10" t="s">
        <v>72</v>
      </c>
    </row>
    <row r="37" spans="1:56" ht="12.75" customHeight="1">
      <c r="A37" s="8"/>
      <c r="B37" s="186" t="s">
        <v>61</v>
      </c>
      <c r="C37" s="707">
        <v>9000</v>
      </c>
      <c r="D37" s="565">
        <v>7853</v>
      </c>
      <c r="E37" s="693">
        <v>7353</v>
      </c>
      <c r="F37" s="693">
        <v>7530</v>
      </c>
      <c r="G37" s="693">
        <v>4383</v>
      </c>
      <c r="H37" s="693">
        <v>3160</v>
      </c>
      <c r="I37" s="693">
        <v>3169</v>
      </c>
      <c r="J37" s="693">
        <v>2365</v>
      </c>
      <c r="K37" s="693">
        <v>2495</v>
      </c>
      <c r="L37" s="693">
        <v>2286</v>
      </c>
      <c r="M37" s="693">
        <v>2440</v>
      </c>
      <c r="N37" s="693">
        <v>2094</v>
      </c>
      <c r="O37" s="694">
        <v>1069</v>
      </c>
      <c r="P37" s="695">
        <v>3183</v>
      </c>
      <c r="Q37" s="693">
        <v>4487</v>
      </c>
      <c r="R37" s="693">
        <v>4333</v>
      </c>
      <c r="S37" s="693">
        <v>5558</v>
      </c>
      <c r="T37" s="693">
        <v>5346</v>
      </c>
      <c r="U37" s="693">
        <v>4447</v>
      </c>
      <c r="V37" s="693">
        <v>4326</v>
      </c>
      <c r="W37" s="693">
        <v>3008</v>
      </c>
      <c r="X37" s="693">
        <v>4580</v>
      </c>
      <c r="Y37" s="693">
        <v>4564</v>
      </c>
      <c r="Z37" s="693">
        <v>4065</v>
      </c>
      <c r="AA37" s="693">
        <v>5689</v>
      </c>
      <c r="AB37" s="694">
        <v>4614</v>
      </c>
      <c r="AC37" s="695">
        <v>2588</v>
      </c>
      <c r="AD37" s="693">
        <v>2630</v>
      </c>
      <c r="AE37" s="693">
        <v>2611</v>
      </c>
      <c r="AF37" s="693">
        <v>2339</v>
      </c>
      <c r="AG37" s="693">
        <v>2867</v>
      </c>
      <c r="AH37" s="693">
        <v>2800</v>
      </c>
      <c r="AI37" s="693">
        <v>1954</v>
      </c>
      <c r="AJ37" s="693">
        <v>2200</v>
      </c>
      <c r="AK37" s="693">
        <v>2525</v>
      </c>
      <c r="AL37" s="693">
        <v>2130</v>
      </c>
      <c r="AM37" s="687">
        <v>2138</v>
      </c>
      <c r="AN37" s="687">
        <v>2495</v>
      </c>
      <c r="AO37" s="688">
        <v>1644</v>
      </c>
      <c r="AP37" s="687">
        <f t="shared" si="26"/>
        <v>14771</v>
      </c>
      <c r="AQ37" s="687">
        <f t="shared" si="26"/>
        <v>14970</v>
      </c>
      <c r="AR37" s="687">
        <f t="shared" si="24"/>
        <v>14297</v>
      </c>
      <c r="AS37" s="687">
        <f t="shared" si="25"/>
        <v>15427</v>
      </c>
      <c r="AT37" s="693">
        <f t="shared" si="19"/>
        <v>12596</v>
      </c>
      <c r="AU37" s="693">
        <f t="shared" si="20"/>
        <v>10407</v>
      </c>
      <c r="AV37" s="693">
        <f t="shared" si="21"/>
        <v>9449</v>
      </c>
      <c r="AW37" s="693">
        <f t="shared" si="22"/>
        <v>7573</v>
      </c>
      <c r="AX37" s="693">
        <f t="shared" si="14"/>
        <v>9600</v>
      </c>
      <c r="AY37" s="693">
        <f t="shared" si="15"/>
        <v>8980</v>
      </c>
      <c r="AZ37" s="693">
        <f t="shared" si="16"/>
        <v>8643</v>
      </c>
      <c r="BA37" s="693">
        <f t="shared" si="17"/>
        <v>10278</v>
      </c>
      <c r="BB37" s="694">
        <f t="shared" si="18"/>
        <v>7327</v>
      </c>
      <c r="BC37" s="462">
        <f t="shared" si="1"/>
        <v>-0.2871181163650516</v>
      </c>
      <c r="BD37" s="186" t="s">
        <v>61</v>
      </c>
    </row>
    <row r="38" spans="1:56" ht="12.75" customHeight="1">
      <c r="A38" s="8"/>
      <c r="B38" s="10" t="s">
        <v>43</v>
      </c>
      <c r="C38" s="708">
        <v>38</v>
      </c>
      <c r="D38" s="709">
        <v>54</v>
      </c>
      <c r="E38" s="666">
        <v>30</v>
      </c>
      <c r="F38" s="666">
        <v>23</v>
      </c>
      <c r="G38" s="666">
        <v>26</v>
      </c>
      <c r="H38" s="666">
        <v>6</v>
      </c>
      <c r="I38" s="666">
        <v>10</v>
      </c>
      <c r="J38" s="666">
        <v>22</v>
      </c>
      <c r="K38" s="666">
        <v>36</v>
      </c>
      <c r="L38" s="666">
        <v>20</v>
      </c>
      <c r="M38" s="666">
        <v>52</v>
      </c>
      <c r="N38" s="666">
        <v>72</v>
      </c>
      <c r="O38" s="677">
        <v>144</v>
      </c>
      <c r="P38" s="669">
        <v>11</v>
      </c>
      <c r="Q38" s="666">
        <v>17</v>
      </c>
      <c r="R38" s="666">
        <v>12</v>
      </c>
      <c r="S38" s="666">
        <v>12</v>
      </c>
      <c r="T38" s="666">
        <v>11</v>
      </c>
      <c r="U38" s="666">
        <v>2</v>
      </c>
      <c r="V38" s="666">
        <v>7</v>
      </c>
      <c r="W38" s="666">
        <v>8</v>
      </c>
      <c r="X38" s="666">
        <v>4</v>
      </c>
      <c r="Y38" s="666">
        <v>19</v>
      </c>
      <c r="Z38" s="666">
        <v>10</v>
      </c>
      <c r="AA38" s="666">
        <v>7</v>
      </c>
      <c r="AB38" s="677">
        <v>21</v>
      </c>
      <c r="AC38" s="669">
        <v>7</v>
      </c>
      <c r="AD38" s="666">
        <v>35</v>
      </c>
      <c r="AE38" s="666">
        <v>14</v>
      </c>
      <c r="AF38" s="666">
        <v>11</v>
      </c>
      <c r="AG38" s="666">
        <v>7</v>
      </c>
      <c r="AH38" s="666">
        <v>0</v>
      </c>
      <c r="AI38" s="666">
        <v>11</v>
      </c>
      <c r="AJ38" s="666">
        <v>4</v>
      </c>
      <c r="AK38" s="666">
        <v>28</v>
      </c>
      <c r="AL38" s="666">
        <v>35</v>
      </c>
      <c r="AM38" s="667">
        <v>42</v>
      </c>
      <c r="AN38" s="667">
        <v>31</v>
      </c>
      <c r="AO38" s="668">
        <v>89</v>
      </c>
      <c r="AP38" s="667">
        <f t="shared" si="26"/>
        <v>56</v>
      </c>
      <c r="AQ38" s="667">
        <f t="shared" si="26"/>
        <v>106</v>
      </c>
      <c r="AR38" s="667">
        <f t="shared" si="24"/>
        <v>56</v>
      </c>
      <c r="AS38" s="667">
        <f t="shared" si="25"/>
        <v>46</v>
      </c>
      <c r="AT38" s="666">
        <f t="shared" si="19"/>
        <v>44</v>
      </c>
      <c r="AU38" s="666">
        <f t="shared" si="20"/>
        <v>8</v>
      </c>
      <c r="AV38" s="666">
        <f t="shared" si="21"/>
        <v>28</v>
      </c>
      <c r="AW38" s="666">
        <f t="shared" si="22"/>
        <v>34</v>
      </c>
      <c r="AX38" s="666">
        <f t="shared" si="14"/>
        <v>68</v>
      </c>
      <c r="AY38" s="666">
        <f t="shared" si="15"/>
        <v>74</v>
      </c>
      <c r="AZ38" s="666">
        <f t="shared" si="16"/>
        <v>104</v>
      </c>
      <c r="BA38" s="666">
        <f t="shared" si="17"/>
        <v>110</v>
      </c>
      <c r="BB38" s="677">
        <f t="shared" si="18"/>
        <v>254</v>
      </c>
      <c r="BC38" s="240">
        <f t="shared" si="1"/>
        <v>1.309090909090909</v>
      </c>
      <c r="BD38" s="10" t="s">
        <v>43</v>
      </c>
    </row>
    <row r="39" spans="1:56" ht="12.75" customHeight="1">
      <c r="A39" s="8"/>
      <c r="B39" s="184" t="s">
        <v>73</v>
      </c>
      <c r="C39" s="710">
        <v>127</v>
      </c>
      <c r="D39" s="711">
        <v>138</v>
      </c>
      <c r="E39" s="687">
        <v>105</v>
      </c>
      <c r="F39" s="687">
        <v>55</v>
      </c>
      <c r="G39" s="687">
        <v>58</v>
      </c>
      <c r="H39" s="687">
        <v>55</v>
      </c>
      <c r="I39" s="687">
        <v>37</v>
      </c>
      <c r="J39" s="687">
        <v>6</v>
      </c>
      <c r="K39" s="687">
        <v>44</v>
      </c>
      <c r="L39" s="687">
        <v>36</v>
      </c>
      <c r="M39" s="687">
        <v>39</v>
      </c>
      <c r="N39" s="687">
        <v>50</v>
      </c>
      <c r="O39" s="688">
        <v>73</v>
      </c>
      <c r="P39" s="689">
        <v>308</v>
      </c>
      <c r="Q39" s="687">
        <v>430</v>
      </c>
      <c r="R39" s="687">
        <v>315</v>
      </c>
      <c r="S39" s="687">
        <v>462</v>
      </c>
      <c r="T39" s="687">
        <v>483</v>
      </c>
      <c r="U39" s="687">
        <v>396</v>
      </c>
      <c r="V39" s="687">
        <v>466</v>
      </c>
      <c r="W39" s="687">
        <v>401</v>
      </c>
      <c r="X39" s="687">
        <v>412</v>
      </c>
      <c r="Y39" s="687">
        <v>438</v>
      </c>
      <c r="Z39" s="687">
        <v>377</v>
      </c>
      <c r="AA39" s="687">
        <v>380</v>
      </c>
      <c r="AB39" s="688">
        <v>342</v>
      </c>
      <c r="AC39" s="689">
        <v>502</v>
      </c>
      <c r="AD39" s="687">
        <v>600</v>
      </c>
      <c r="AE39" s="687">
        <v>423</v>
      </c>
      <c r="AF39" s="687">
        <v>621</v>
      </c>
      <c r="AG39" s="687">
        <v>691</v>
      </c>
      <c r="AH39" s="687">
        <v>709</v>
      </c>
      <c r="AI39" s="687">
        <v>979</v>
      </c>
      <c r="AJ39" s="687">
        <v>938</v>
      </c>
      <c r="AK39" s="687">
        <v>775</v>
      </c>
      <c r="AL39" s="687">
        <v>785</v>
      </c>
      <c r="AM39" s="687">
        <v>599</v>
      </c>
      <c r="AN39" s="687">
        <v>540</v>
      </c>
      <c r="AO39" s="688">
        <v>983</v>
      </c>
      <c r="AP39" s="687">
        <f t="shared" si="26"/>
        <v>937</v>
      </c>
      <c r="AQ39" s="687">
        <f t="shared" si="26"/>
        <v>1168</v>
      </c>
      <c r="AR39" s="687">
        <f t="shared" si="24"/>
        <v>843</v>
      </c>
      <c r="AS39" s="687">
        <f t="shared" si="25"/>
        <v>1138</v>
      </c>
      <c r="AT39" s="687">
        <f t="shared" si="19"/>
        <v>1232</v>
      </c>
      <c r="AU39" s="687">
        <f t="shared" si="20"/>
        <v>1160</v>
      </c>
      <c r="AV39" s="687">
        <f t="shared" si="21"/>
        <v>1482</v>
      </c>
      <c r="AW39" s="687">
        <f t="shared" si="22"/>
        <v>1345</v>
      </c>
      <c r="AX39" s="687">
        <f t="shared" si="14"/>
        <v>1231</v>
      </c>
      <c r="AY39" s="687">
        <f t="shared" si="15"/>
        <v>1259</v>
      </c>
      <c r="AZ39" s="687">
        <f t="shared" si="16"/>
        <v>1015</v>
      </c>
      <c r="BA39" s="687">
        <f t="shared" si="17"/>
        <v>970</v>
      </c>
      <c r="BB39" s="688">
        <f t="shared" si="18"/>
        <v>1398</v>
      </c>
      <c r="BC39" s="249">
        <f t="shared" si="1"/>
        <v>0.44123711340206184</v>
      </c>
      <c r="BD39" s="184" t="s">
        <v>73</v>
      </c>
    </row>
    <row r="40" spans="1:56" ht="12.75" customHeight="1">
      <c r="A40" s="8"/>
      <c r="B40" s="11" t="s">
        <v>44</v>
      </c>
      <c r="C40" s="712">
        <v>777</v>
      </c>
      <c r="D40" s="713">
        <v>822</v>
      </c>
      <c r="E40" s="696">
        <v>521</v>
      </c>
      <c r="F40" s="696">
        <v>408</v>
      </c>
      <c r="G40" s="696">
        <v>470</v>
      </c>
      <c r="H40" s="696">
        <v>514</v>
      </c>
      <c r="I40" s="696">
        <v>453</v>
      </c>
      <c r="J40" s="696">
        <v>313</v>
      </c>
      <c r="K40" s="696">
        <v>468</v>
      </c>
      <c r="L40" s="696">
        <v>347</v>
      </c>
      <c r="M40" s="696">
        <v>181</v>
      </c>
      <c r="N40" s="696">
        <v>386</v>
      </c>
      <c r="O40" s="697">
        <v>169</v>
      </c>
      <c r="P40" s="698">
        <v>111</v>
      </c>
      <c r="Q40" s="696">
        <v>99</v>
      </c>
      <c r="R40" s="696">
        <v>124</v>
      </c>
      <c r="S40" s="696">
        <v>133</v>
      </c>
      <c r="T40" s="696">
        <v>154</v>
      </c>
      <c r="U40" s="696">
        <v>191</v>
      </c>
      <c r="V40" s="696">
        <v>115</v>
      </c>
      <c r="W40" s="696">
        <v>113</v>
      </c>
      <c r="X40" s="696">
        <v>123</v>
      </c>
      <c r="Y40" s="696">
        <v>129</v>
      </c>
      <c r="Z40" s="696">
        <v>161</v>
      </c>
      <c r="AA40" s="696">
        <v>148</v>
      </c>
      <c r="AB40" s="697">
        <v>165</v>
      </c>
      <c r="AC40" s="698">
        <v>487</v>
      </c>
      <c r="AD40" s="696">
        <v>402</v>
      </c>
      <c r="AE40" s="696">
        <v>431</v>
      </c>
      <c r="AF40" s="696">
        <v>397</v>
      </c>
      <c r="AG40" s="696">
        <v>727</v>
      </c>
      <c r="AH40" s="696">
        <v>418</v>
      </c>
      <c r="AI40" s="696">
        <v>372</v>
      </c>
      <c r="AJ40" s="696">
        <v>511</v>
      </c>
      <c r="AK40" s="696">
        <v>347</v>
      </c>
      <c r="AL40" s="696">
        <v>452</v>
      </c>
      <c r="AM40" s="696">
        <v>483</v>
      </c>
      <c r="AN40" s="696">
        <v>589</v>
      </c>
      <c r="AO40" s="697">
        <v>480</v>
      </c>
      <c r="AP40" s="696">
        <f t="shared" si="26"/>
        <v>1375</v>
      </c>
      <c r="AQ40" s="696">
        <f t="shared" si="26"/>
        <v>1323</v>
      </c>
      <c r="AR40" s="696">
        <f t="shared" si="24"/>
        <v>1076</v>
      </c>
      <c r="AS40" s="696">
        <f t="shared" si="25"/>
        <v>938</v>
      </c>
      <c r="AT40" s="696">
        <f t="shared" si="19"/>
        <v>1351</v>
      </c>
      <c r="AU40" s="696">
        <f t="shared" si="20"/>
        <v>1123</v>
      </c>
      <c r="AV40" s="696">
        <f t="shared" si="21"/>
        <v>940</v>
      </c>
      <c r="AW40" s="696">
        <f t="shared" si="22"/>
        <v>937</v>
      </c>
      <c r="AX40" s="696">
        <f t="shared" si="14"/>
        <v>938</v>
      </c>
      <c r="AY40" s="696">
        <f t="shared" si="15"/>
        <v>928</v>
      </c>
      <c r="AZ40" s="696">
        <f t="shared" si="16"/>
        <v>825</v>
      </c>
      <c r="BA40" s="696">
        <f t="shared" si="17"/>
        <v>1123</v>
      </c>
      <c r="BB40" s="697">
        <f t="shared" si="18"/>
        <v>814</v>
      </c>
      <c r="BC40" s="243">
        <f t="shared" si="1"/>
        <v>-0.2751558325912734</v>
      </c>
      <c r="BD40" s="11" t="s">
        <v>44</v>
      </c>
    </row>
    <row r="41" spans="2:56" ht="27.75" customHeight="1">
      <c r="B41" s="1050" t="s">
        <v>211</v>
      </c>
      <c r="C41" s="1050"/>
      <c r="D41" s="1050"/>
      <c r="E41" s="1050"/>
      <c r="F41" s="1050"/>
      <c r="G41" s="1050"/>
      <c r="H41" s="1050"/>
      <c r="I41" s="1050"/>
      <c r="J41" s="1050"/>
      <c r="K41" s="1050"/>
      <c r="L41" s="1050"/>
      <c r="M41" s="1050"/>
      <c r="N41" s="1050"/>
      <c r="O41" s="1050"/>
      <c r="P41" s="1050"/>
      <c r="Q41" s="1050"/>
      <c r="R41" s="1050"/>
      <c r="S41" s="1050"/>
      <c r="T41" s="1050"/>
      <c r="U41" s="1050"/>
      <c r="V41" s="1050"/>
      <c r="W41" s="1050"/>
      <c r="X41" s="1050"/>
      <c r="Y41" s="1050"/>
      <c r="Z41" s="1050"/>
      <c r="AA41" s="1050"/>
      <c r="AB41" s="1050"/>
      <c r="AC41" s="1050"/>
      <c r="AD41" s="1050"/>
      <c r="AE41" s="1050"/>
      <c r="AF41" s="1050"/>
      <c r="AG41" s="1050"/>
      <c r="AH41" s="1050"/>
      <c r="AI41" s="1050"/>
      <c r="AJ41" s="1050"/>
      <c r="AK41" s="1050"/>
      <c r="AL41" s="1050"/>
      <c r="AM41" s="1050"/>
      <c r="AN41" s="1050"/>
      <c r="AO41" s="1050"/>
      <c r="AP41" s="1050"/>
      <c r="AQ41" s="1050"/>
      <c r="AR41" s="1050"/>
      <c r="AS41" s="1050"/>
      <c r="AT41" s="1050"/>
      <c r="AU41" s="1050"/>
      <c r="AV41" s="1050"/>
      <c r="AW41" s="1050"/>
      <c r="AX41" s="1050"/>
      <c r="AY41" s="1050"/>
      <c r="AZ41" s="1050"/>
      <c r="BA41" s="981"/>
      <c r="BB41" s="981"/>
      <c r="BC41" s="981"/>
      <c r="BD41" s="981"/>
    </row>
    <row r="42" spans="2:56" ht="12.75">
      <c r="B42" s="244" t="s">
        <v>81</v>
      </c>
      <c r="BA42" s="981"/>
      <c r="BB42" s="981"/>
      <c r="BC42" s="981"/>
      <c r="BD42" s="981"/>
    </row>
    <row r="43" spans="2:56" ht="15.75" customHeight="1">
      <c r="B43" s="61" t="s">
        <v>138</v>
      </c>
      <c r="BA43" s="981"/>
      <c r="BB43" s="981"/>
      <c r="BC43" s="981"/>
      <c r="BD43" s="981"/>
    </row>
    <row r="44" spans="15:56" ht="12.75">
      <c r="O44" s="493"/>
      <c r="P44" s="493"/>
      <c r="Q44" s="493"/>
      <c r="R44" s="493"/>
      <c r="S44" s="493"/>
      <c r="T44" s="493"/>
      <c r="U44" s="493"/>
      <c r="V44" s="493"/>
      <c r="W44" s="493"/>
      <c r="X44" s="493"/>
      <c r="AA44" s="493"/>
      <c r="AB44" s="493"/>
      <c r="AC44" s="493"/>
      <c r="AD44" s="493"/>
      <c r="AE44" s="493"/>
      <c r="AF44" s="493"/>
      <c r="AG44" s="493"/>
      <c r="AH44" s="493"/>
      <c r="AI44" s="493"/>
      <c r="AJ44" s="493"/>
      <c r="AM44" s="493"/>
      <c r="AN44" s="493"/>
      <c r="AO44" s="493"/>
      <c r="AP44" s="493"/>
      <c r="AQ44" s="493"/>
      <c r="AR44" s="493"/>
      <c r="AS44" s="493"/>
      <c r="BA44" s="981"/>
      <c r="BB44" s="981"/>
      <c r="BC44" s="981"/>
      <c r="BD44" s="981"/>
    </row>
    <row r="45" spans="15:56" ht="12.75">
      <c r="O45" s="493"/>
      <c r="P45" s="493"/>
      <c r="Q45" s="493"/>
      <c r="R45" s="493"/>
      <c r="S45" s="493"/>
      <c r="T45" s="493"/>
      <c r="U45" s="493"/>
      <c r="V45" s="493"/>
      <c r="W45" s="493"/>
      <c r="X45" s="493"/>
      <c r="AA45" s="493"/>
      <c r="AB45" s="493"/>
      <c r="AC45" s="493"/>
      <c r="AD45" s="493"/>
      <c r="AE45" s="493"/>
      <c r="AF45" s="493"/>
      <c r="AG45" s="493"/>
      <c r="AH45" s="493"/>
      <c r="AI45" s="493"/>
      <c r="AJ45" s="493"/>
      <c r="AM45" s="493"/>
      <c r="AN45" s="493"/>
      <c r="AO45" s="493"/>
      <c r="AP45" s="493"/>
      <c r="AQ45" s="493"/>
      <c r="AR45" s="493"/>
      <c r="AS45" s="493"/>
      <c r="BA45" s="981"/>
      <c r="BB45" s="981"/>
      <c r="BC45" s="981"/>
      <c r="BD45" s="981"/>
    </row>
    <row r="46" spans="15:56" ht="12.75">
      <c r="O46" s="493"/>
      <c r="P46" s="493"/>
      <c r="Q46" s="493"/>
      <c r="R46" s="493"/>
      <c r="S46" s="493"/>
      <c r="T46" s="493"/>
      <c r="U46" s="493"/>
      <c r="V46" s="493"/>
      <c r="W46" s="493"/>
      <c r="X46" s="493"/>
      <c r="AA46" s="493"/>
      <c r="AB46" s="493"/>
      <c r="AC46" s="493"/>
      <c r="AD46" s="493"/>
      <c r="AE46" s="493"/>
      <c r="AF46" s="493"/>
      <c r="AG46" s="493"/>
      <c r="AH46" s="493"/>
      <c r="AI46" s="493"/>
      <c r="AJ46" s="493"/>
      <c r="AM46" s="493"/>
      <c r="AN46" s="493"/>
      <c r="AO46" s="493"/>
      <c r="AP46" s="493"/>
      <c r="AQ46" s="493"/>
      <c r="AR46" s="493"/>
      <c r="AS46" s="493"/>
      <c r="BA46" s="981"/>
      <c r="BB46" s="981"/>
      <c r="BC46" s="981"/>
      <c r="BD46" s="981"/>
    </row>
    <row r="47" spans="15:56" ht="12.75">
      <c r="O47" s="493"/>
      <c r="P47" s="493"/>
      <c r="Q47" s="493"/>
      <c r="R47" s="493"/>
      <c r="S47" s="493"/>
      <c r="T47" s="493"/>
      <c r="U47" s="493"/>
      <c r="V47" s="493"/>
      <c r="W47" s="493"/>
      <c r="X47" s="493"/>
      <c r="AA47" s="493"/>
      <c r="AB47" s="493"/>
      <c r="AC47" s="493"/>
      <c r="AD47" s="493"/>
      <c r="AE47" s="493"/>
      <c r="AF47" s="493"/>
      <c r="AG47" s="493"/>
      <c r="AH47" s="493"/>
      <c r="AI47" s="493"/>
      <c r="AJ47" s="493"/>
      <c r="AM47" s="493"/>
      <c r="AN47" s="493"/>
      <c r="AO47" s="493"/>
      <c r="AP47" s="493"/>
      <c r="AQ47" s="493"/>
      <c r="AR47" s="493"/>
      <c r="AS47" s="493"/>
      <c r="BA47" s="981"/>
      <c r="BB47" s="981"/>
      <c r="BC47" s="981"/>
      <c r="BD47" s="981"/>
    </row>
    <row r="48" spans="15:56" ht="12.75">
      <c r="O48" s="493"/>
      <c r="P48" s="493"/>
      <c r="Q48" s="493"/>
      <c r="R48" s="493"/>
      <c r="S48" s="493"/>
      <c r="T48" s="493"/>
      <c r="U48" s="493"/>
      <c r="V48" s="493"/>
      <c r="W48" s="493"/>
      <c r="X48" s="493"/>
      <c r="AA48" s="493"/>
      <c r="AB48" s="493"/>
      <c r="AC48" s="493"/>
      <c r="AD48" s="493"/>
      <c r="AE48" s="493"/>
      <c r="AF48" s="493"/>
      <c r="AG48" s="493"/>
      <c r="AH48" s="493"/>
      <c r="AI48" s="493"/>
      <c r="AJ48" s="493"/>
      <c r="AM48" s="493"/>
      <c r="AN48" s="493"/>
      <c r="AO48" s="493"/>
      <c r="AP48" s="493"/>
      <c r="AQ48" s="493"/>
      <c r="AR48" s="493"/>
      <c r="AS48" s="493"/>
      <c r="BA48" s="981"/>
      <c r="BB48" s="981"/>
      <c r="BC48" s="981"/>
      <c r="BD48" s="981"/>
    </row>
    <row r="49" spans="15:56" ht="12.75">
      <c r="O49" s="493"/>
      <c r="P49" s="493"/>
      <c r="Q49" s="493"/>
      <c r="R49" s="493"/>
      <c r="S49" s="493"/>
      <c r="T49" s="493"/>
      <c r="U49" s="493"/>
      <c r="V49" s="493"/>
      <c r="W49" s="493"/>
      <c r="X49" s="493"/>
      <c r="AA49" s="493"/>
      <c r="AB49" s="493"/>
      <c r="AC49" s="493"/>
      <c r="AD49" s="493"/>
      <c r="AE49" s="493"/>
      <c r="AF49" s="493"/>
      <c r="AG49" s="493"/>
      <c r="AH49" s="493"/>
      <c r="AI49" s="493"/>
      <c r="AJ49" s="493"/>
      <c r="AM49" s="493"/>
      <c r="AN49" s="493"/>
      <c r="AO49" s="493"/>
      <c r="AP49" s="493"/>
      <c r="AQ49" s="493"/>
      <c r="AR49" s="493"/>
      <c r="AS49" s="493"/>
      <c r="BA49" s="981"/>
      <c r="BB49" s="981"/>
      <c r="BC49" s="981"/>
      <c r="BD49" s="981"/>
    </row>
    <row r="50" spans="15:56" ht="12.75">
      <c r="O50" s="493"/>
      <c r="P50" s="493"/>
      <c r="Q50" s="493"/>
      <c r="R50" s="493"/>
      <c r="S50" s="493"/>
      <c r="T50" s="493"/>
      <c r="U50" s="493"/>
      <c r="V50" s="493"/>
      <c r="W50" s="493"/>
      <c r="X50" s="493"/>
      <c r="AA50" s="493"/>
      <c r="AB50" s="493"/>
      <c r="AC50" s="493"/>
      <c r="AD50" s="493"/>
      <c r="AE50" s="493"/>
      <c r="AF50" s="493"/>
      <c r="AG50" s="493"/>
      <c r="AH50" s="493"/>
      <c r="AI50" s="493"/>
      <c r="AJ50" s="493"/>
      <c r="AM50" s="493"/>
      <c r="AN50" s="493"/>
      <c r="AO50" s="493"/>
      <c r="AP50" s="493"/>
      <c r="AQ50" s="493"/>
      <c r="AR50" s="493"/>
      <c r="AS50" s="493"/>
      <c r="BA50" s="981"/>
      <c r="BB50" s="981"/>
      <c r="BC50" s="981"/>
      <c r="BD50" s="981"/>
    </row>
    <row r="51" spans="15:56" ht="12.75">
      <c r="O51" s="493"/>
      <c r="P51" s="493"/>
      <c r="Q51" s="493"/>
      <c r="R51" s="493"/>
      <c r="S51" s="493"/>
      <c r="T51" s="493"/>
      <c r="U51" s="493"/>
      <c r="V51" s="493"/>
      <c r="W51" s="493"/>
      <c r="X51" s="493"/>
      <c r="AA51" s="493"/>
      <c r="AB51" s="493"/>
      <c r="AC51" s="493"/>
      <c r="AD51" s="493"/>
      <c r="AE51" s="493"/>
      <c r="AF51" s="493"/>
      <c r="AG51" s="493"/>
      <c r="AH51" s="493"/>
      <c r="AI51" s="493"/>
      <c r="AJ51" s="493"/>
      <c r="AM51" s="493"/>
      <c r="AN51" s="493"/>
      <c r="AO51" s="493"/>
      <c r="AP51" s="493"/>
      <c r="AQ51" s="493"/>
      <c r="AR51" s="493"/>
      <c r="AS51" s="493"/>
      <c r="BA51" s="981"/>
      <c r="BB51" s="981"/>
      <c r="BC51" s="981"/>
      <c r="BD51" s="981"/>
    </row>
    <row r="52" spans="15:56" ht="12.75">
      <c r="O52" s="493"/>
      <c r="P52" s="493"/>
      <c r="Q52" s="493"/>
      <c r="R52" s="493"/>
      <c r="S52" s="493"/>
      <c r="T52" s="493"/>
      <c r="U52" s="493"/>
      <c r="V52" s="493"/>
      <c r="W52" s="493"/>
      <c r="X52" s="493"/>
      <c r="AA52" s="493"/>
      <c r="AB52" s="493"/>
      <c r="AC52" s="493"/>
      <c r="AD52" s="493"/>
      <c r="AE52" s="493"/>
      <c r="AF52" s="493"/>
      <c r="AG52" s="493"/>
      <c r="AH52" s="493"/>
      <c r="AI52" s="493"/>
      <c r="AJ52" s="493"/>
      <c r="AM52" s="493"/>
      <c r="AN52" s="493"/>
      <c r="AO52" s="493"/>
      <c r="AP52" s="493"/>
      <c r="AQ52" s="493"/>
      <c r="AR52" s="493"/>
      <c r="AS52" s="493"/>
      <c r="BA52" s="981"/>
      <c r="BB52" s="981"/>
      <c r="BC52" s="981"/>
      <c r="BD52" s="981"/>
    </row>
    <row r="53" spans="15:56" ht="12.75">
      <c r="O53" s="493"/>
      <c r="P53" s="493"/>
      <c r="Q53" s="493"/>
      <c r="R53" s="493"/>
      <c r="S53" s="493"/>
      <c r="T53" s="493"/>
      <c r="U53" s="493"/>
      <c r="V53" s="493"/>
      <c r="W53" s="493"/>
      <c r="X53" s="493"/>
      <c r="AA53" s="493"/>
      <c r="AB53" s="493"/>
      <c r="AC53" s="493"/>
      <c r="AD53" s="493"/>
      <c r="AE53" s="493"/>
      <c r="AF53" s="493"/>
      <c r="AG53" s="493"/>
      <c r="AH53" s="493"/>
      <c r="AI53" s="493"/>
      <c r="AJ53" s="493"/>
      <c r="AM53" s="493"/>
      <c r="AN53" s="493"/>
      <c r="AO53" s="493"/>
      <c r="AP53" s="493"/>
      <c r="AQ53" s="493"/>
      <c r="AR53" s="493"/>
      <c r="AS53" s="493"/>
      <c r="BA53" s="981"/>
      <c r="BB53" s="981"/>
      <c r="BC53" s="981"/>
      <c r="BD53" s="981"/>
    </row>
    <row r="54" spans="15:45" ht="12.75">
      <c r="O54" s="493"/>
      <c r="P54" s="493"/>
      <c r="Q54" s="493"/>
      <c r="R54" s="493"/>
      <c r="S54" s="493"/>
      <c r="T54" s="493"/>
      <c r="U54" s="493"/>
      <c r="V54" s="493"/>
      <c r="W54" s="493"/>
      <c r="X54" s="493"/>
      <c r="AA54" s="493"/>
      <c r="AB54" s="493"/>
      <c r="AC54" s="493"/>
      <c r="AD54" s="493"/>
      <c r="AE54" s="493"/>
      <c r="AF54" s="493"/>
      <c r="AG54" s="493"/>
      <c r="AH54" s="493"/>
      <c r="AI54" s="493"/>
      <c r="AJ54" s="493"/>
      <c r="AM54" s="493"/>
      <c r="AN54" s="493"/>
      <c r="AO54" s="493"/>
      <c r="AP54" s="493"/>
      <c r="AQ54" s="493"/>
      <c r="AR54" s="493"/>
      <c r="AS54" s="493"/>
    </row>
    <row r="55" spans="15:45" ht="12.75">
      <c r="O55" s="493"/>
      <c r="P55" s="493"/>
      <c r="Q55" s="493"/>
      <c r="R55" s="493"/>
      <c r="S55" s="493"/>
      <c r="T55" s="493"/>
      <c r="U55" s="493"/>
      <c r="V55" s="493"/>
      <c r="W55" s="493"/>
      <c r="X55" s="493"/>
      <c r="AA55" s="493"/>
      <c r="AB55" s="493"/>
      <c r="AC55" s="493"/>
      <c r="AD55" s="493"/>
      <c r="AE55" s="493"/>
      <c r="AF55" s="493"/>
      <c r="AG55" s="493"/>
      <c r="AH55" s="493"/>
      <c r="AI55" s="493"/>
      <c r="AJ55" s="493"/>
      <c r="AM55" s="493"/>
      <c r="AN55" s="493"/>
      <c r="AO55" s="493"/>
      <c r="AP55" s="493"/>
      <c r="AQ55" s="493"/>
      <c r="AR55" s="493"/>
      <c r="AS55" s="493"/>
    </row>
    <row r="56" spans="15:45" ht="12.75">
      <c r="O56" s="493"/>
      <c r="P56" s="493"/>
      <c r="Q56" s="493"/>
      <c r="R56" s="493"/>
      <c r="S56" s="493"/>
      <c r="T56" s="493"/>
      <c r="U56" s="493"/>
      <c r="V56" s="493"/>
      <c r="W56" s="493"/>
      <c r="X56" s="493"/>
      <c r="AA56" s="493"/>
      <c r="AB56" s="493"/>
      <c r="AC56" s="493"/>
      <c r="AD56" s="493"/>
      <c r="AE56" s="493"/>
      <c r="AF56" s="493"/>
      <c r="AG56" s="493"/>
      <c r="AH56" s="493"/>
      <c r="AI56" s="493"/>
      <c r="AJ56" s="493"/>
      <c r="AM56" s="493"/>
      <c r="AN56" s="493"/>
      <c r="AO56" s="493"/>
      <c r="AP56" s="493"/>
      <c r="AQ56" s="493"/>
      <c r="AR56" s="493"/>
      <c r="AS56" s="493"/>
    </row>
    <row r="57" spans="15:45" ht="12.75">
      <c r="O57" s="493"/>
      <c r="P57" s="493"/>
      <c r="Q57" s="493"/>
      <c r="R57" s="493"/>
      <c r="S57" s="493"/>
      <c r="T57" s="493"/>
      <c r="U57" s="493"/>
      <c r="V57" s="493"/>
      <c r="W57" s="493"/>
      <c r="X57" s="493"/>
      <c r="AA57" s="493"/>
      <c r="AB57" s="493"/>
      <c r="AC57" s="493"/>
      <c r="AD57" s="493"/>
      <c r="AE57" s="493"/>
      <c r="AF57" s="493"/>
      <c r="AG57" s="493"/>
      <c r="AH57" s="493"/>
      <c r="AI57" s="493"/>
      <c r="AJ57" s="493"/>
      <c r="AM57" s="493"/>
      <c r="AN57" s="493"/>
      <c r="AO57" s="493"/>
      <c r="AP57" s="493"/>
      <c r="AQ57" s="493"/>
      <c r="AR57" s="493"/>
      <c r="AS57" s="493"/>
    </row>
    <row r="58" spans="15:45" ht="12.75">
      <c r="O58" s="493"/>
      <c r="P58" s="493"/>
      <c r="Q58" s="493"/>
      <c r="R58" s="493"/>
      <c r="S58" s="493"/>
      <c r="T58" s="493"/>
      <c r="U58" s="493"/>
      <c r="V58" s="493"/>
      <c r="W58" s="493"/>
      <c r="X58" s="493"/>
      <c r="AA58" s="493"/>
      <c r="AB58" s="493"/>
      <c r="AC58" s="493"/>
      <c r="AD58" s="493"/>
      <c r="AE58" s="493"/>
      <c r="AF58" s="493"/>
      <c r="AG58" s="493"/>
      <c r="AH58" s="493"/>
      <c r="AI58" s="493"/>
      <c r="AJ58" s="493"/>
      <c r="AM58" s="493"/>
      <c r="AN58" s="493"/>
      <c r="AO58" s="493"/>
      <c r="AP58" s="493"/>
      <c r="AQ58" s="493"/>
      <c r="AR58" s="493"/>
      <c r="AS58" s="493"/>
    </row>
    <row r="59" spans="15:45" ht="12.75">
      <c r="O59" s="493"/>
      <c r="P59" s="493"/>
      <c r="Q59" s="493"/>
      <c r="R59" s="493"/>
      <c r="S59" s="493"/>
      <c r="T59" s="493"/>
      <c r="U59" s="493"/>
      <c r="V59" s="493"/>
      <c r="W59" s="493"/>
      <c r="X59" s="493"/>
      <c r="AA59" s="493"/>
      <c r="AB59" s="493"/>
      <c r="AC59" s="493"/>
      <c r="AD59" s="493"/>
      <c r="AE59" s="493"/>
      <c r="AF59" s="493"/>
      <c r="AG59" s="493"/>
      <c r="AH59" s="493"/>
      <c r="AI59" s="493"/>
      <c r="AJ59" s="493"/>
      <c r="AM59" s="493"/>
      <c r="AN59" s="493"/>
      <c r="AO59" s="493"/>
      <c r="AP59" s="493"/>
      <c r="AQ59" s="493"/>
      <c r="AR59" s="493"/>
      <c r="AS59" s="493"/>
    </row>
    <row r="60" spans="15:45" ht="12.75">
      <c r="O60" s="493"/>
      <c r="P60" s="493"/>
      <c r="Q60" s="493"/>
      <c r="R60" s="493"/>
      <c r="S60" s="493"/>
      <c r="T60" s="493"/>
      <c r="U60" s="493"/>
      <c r="V60" s="493"/>
      <c r="W60" s="493"/>
      <c r="X60" s="493"/>
      <c r="AA60" s="493"/>
      <c r="AB60" s="493"/>
      <c r="AC60" s="493"/>
      <c r="AD60" s="493"/>
      <c r="AE60" s="493"/>
      <c r="AF60" s="493"/>
      <c r="AG60" s="493"/>
      <c r="AH60" s="493"/>
      <c r="AI60" s="493"/>
      <c r="AJ60" s="493"/>
      <c r="AM60" s="493"/>
      <c r="AN60" s="493"/>
      <c r="AO60" s="493"/>
      <c r="AP60" s="493"/>
      <c r="AQ60" s="493"/>
      <c r="AR60" s="493"/>
      <c r="AS60" s="493"/>
    </row>
    <row r="61" spans="15:45" ht="12.75">
      <c r="O61" s="493"/>
      <c r="P61" s="493"/>
      <c r="Q61" s="493"/>
      <c r="R61" s="493"/>
      <c r="S61" s="493"/>
      <c r="T61" s="493"/>
      <c r="U61" s="493"/>
      <c r="V61" s="493"/>
      <c r="W61" s="493"/>
      <c r="X61" s="493"/>
      <c r="AA61" s="493"/>
      <c r="AB61" s="493"/>
      <c r="AC61" s="493"/>
      <c r="AD61" s="493"/>
      <c r="AE61" s="493"/>
      <c r="AF61" s="493"/>
      <c r="AG61" s="493"/>
      <c r="AH61" s="493"/>
      <c r="AI61" s="493"/>
      <c r="AJ61" s="493"/>
      <c r="AM61" s="493"/>
      <c r="AN61" s="493"/>
      <c r="AO61" s="493"/>
      <c r="AP61" s="493"/>
      <c r="AQ61" s="493"/>
      <c r="AR61" s="493"/>
      <c r="AS61" s="493"/>
    </row>
    <row r="62" spans="15:45" ht="12.75">
      <c r="O62" s="493"/>
      <c r="P62" s="493"/>
      <c r="Q62" s="493"/>
      <c r="R62" s="493"/>
      <c r="S62" s="493"/>
      <c r="T62" s="493"/>
      <c r="U62" s="493"/>
      <c r="V62" s="493"/>
      <c r="W62" s="493"/>
      <c r="X62" s="493"/>
      <c r="AA62" s="493"/>
      <c r="AB62" s="493"/>
      <c r="AC62" s="493"/>
      <c r="AD62" s="493"/>
      <c r="AE62" s="493"/>
      <c r="AF62" s="493"/>
      <c r="AG62" s="493"/>
      <c r="AH62" s="493"/>
      <c r="AI62" s="493"/>
      <c r="AJ62" s="493"/>
      <c r="AM62" s="493"/>
      <c r="AN62" s="493"/>
      <c r="AO62" s="493"/>
      <c r="AP62" s="493"/>
      <c r="AQ62" s="493"/>
      <c r="AR62" s="493"/>
      <c r="AS62" s="493"/>
    </row>
    <row r="63" spans="15:45" ht="12.75">
      <c r="O63" s="493"/>
      <c r="P63" s="493"/>
      <c r="Q63" s="493"/>
      <c r="R63" s="493"/>
      <c r="S63" s="493"/>
      <c r="T63" s="493"/>
      <c r="U63" s="493"/>
      <c r="V63" s="493"/>
      <c r="W63" s="493"/>
      <c r="X63" s="493"/>
      <c r="AA63" s="493"/>
      <c r="AB63" s="493"/>
      <c r="AC63" s="493"/>
      <c r="AD63" s="493"/>
      <c r="AE63" s="493"/>
      <c r="AF63" s="493"/>
      <c r="AG63" s="493"/>
      <c r="AH63" s="493"/>
      <c r="AI63" s="493"/>
      <c r="AJ63" s="493"/>
      <c r="AM63" s="493"/>
      <c r="AN63" s="493"/>
      <c r="AO63" s="493"/>
      <c r="AP63" s="493"/>
      <c r="AQ63" s="493"/>
      <c r="AR63" s="493"/>
      <c r="AS63" s="493"/>
    </row>
    <row r="64" spans="15:45" ht="12.75">
      <c r="O64" s="493"/>
      <c r="P64" s="493"/>
      <c r="Q64" s="493"/>
      <c r="R64" s="493"/>
      <c r="S64" s="493"/>
      <c r="T64" s="493"/>
      <c r="U64" s="493"/>
      <c r="V64" s="493"/>
      <c r="W64" s="493"/>
      <c r="X64" s="493"/>
      <c r="AA64" s="493"/>
      <c r="AB64" s="493"/>
      <c r="AC64" s="493"/>
      <c r="AD64" s="493"/>
      <c r="AE64" s="493"/>
      <c r="AF64" s="493"/>
      <c r="AG64" s="493"/>
      <c r="AH64" s="493"/>
      <c r="AI64" s="493"/>
      <c r="AJ64" s="493"/>
      <c r="AM64" s="493"/>
      <c r="AN64" s="493"/>
      <c r="AO64" s="493"/>
      <c r="AP64" s="493"/>
      <c r="AQ64" s="493"/>
      <c r="AR64" s="493"/>
      <c r="AS64" s="493"/>
    </row>
    <row r="65" spans="15:45" ht="12.75">
      <c r="O65" s="493"/>
      <c r="P65" s="493"/>
      <c r="Q65" s="493"/>
      <c r="R65" s="493"/>
      <c r="S65" s="493"/>
      <c r="T65" s="493"/>
      <c r="U65" s="493"/>
      <c r="V65" s="493"/>
      <c r="W65" s="493"/>
      <c r="X65" s="493"/>
      <c r="AA65" s="493"/>
      <c r="AB65" s="493"/>
      <c r="AC65" s="493"/>
      <c r="AD65" s="493"/>
      <c r="AE65" s="493"/>
      <c r="AF65" s="493"/>
      <c r="AG65" s="493"/>
      <c r="AH65" s="493"/>
      <c r="AI65" s="493"/>
      <c r="AJ65" s="493"/>
      <c r="AM65" s="493"/>
      <c r="AN65" s="493"/>
      <c r="AO65" s="493"/>
      <c r="AP65" s="493"/>
      <c r="AQ65" s="493"/>
      <c r="AR65" s="493"/>
      <c r="AS65" s="493"/>
    </row>
    <row r="66" spans="15:45" ht="12.75">
      <c r="O66" s="493"/>
      <c r="P66" s="493"/>
      <c r="Q66" s="493"/>
      <c r="R66" s="493"/>
      <c r="S66" s="493"/>
      <c r="T66" s="493"/>
      <c r="U66" s="493"/>
      <c r="V66" s="493"/>
      <c r="W66" s="493"/>
      <c r="X66" s="493"/>
      <c r="AA66" s="493"/>
      <c r="AB66" s="493"/>
      <c r="AC66" s="493"/>
      <c r="AD66" s="493"/>
      <c r="AE66" s="493"/>
      <c r="AF66" s="493"/>
      <c r="AG66" s="493"/>
      <c r="AH66" s="493"/>
      <c r="AI66" s="493"/>
      <c r="AJ66" s="493"/>
      <c r="AM66" s="493"/>
      <c r="AN66" s="493"/>
      <c r="AO66" s="493"/>
      <c r="AP66" s="493"/>
      <c r="AQ66" s="493"/>
      <c r="AR66" s="493"/>
      <c r="AS66" s="493"/>
    </row>
    <row r="67" spans="15:45" ht="12.75">
      <c r="O67" s="493"/>
      <c r="P67" s="493"/>
      <c r="Q67" s="493"/>
      <c r="R67" s="493"/>
      <c r="S67" s="493"/>
      <c r="T67" s="493"/>
      <c r="U67" s="493"/>
      <c r="V67" s="493"/>
      <c r="W67" s="493"/>
      <c r="X67" s="493"/>
      <c r="AA67" s="493"/>
      <c r="AB67" s="493"/>
      <c r="AC67" s="493"/>
      <c r="AD67" s="493"/>
      <c r="AE67" s="493"/>
      <c r="AF67" s="493"/>
      <c r="AG67" s="493"/>
      <c r="AH67" s="493"/>
      <c r="AI67" s="493"/>
      <c r="AJ67" s="493"/>
      <c r="AM67" s="493"/>
      <c r="AN67" s="493"/>
      <c r="AO67" s="493"/>
      <c r="AP67" s="493"/>
      <c r="AQ67" s="493"/>
      <c r="AR67" s="493"/>
      <c r="AS67" s="493"/>
    </row>
    <row r="68" spans="15:45" ht="12.75">
      <c r="O68" s="493"/>
      <c r="P68" s="493"/>
      <c r="Q68" s="493"/>
      <c r="R68" s="493"/>
      <c r="S68" s="493"/>
      <c r="T68" s="493"/>
      <c r="U68" s="493"/>
      <c r="V68" s="493"/>
      <c r="W68" s="493"/>
      <c r="X68" s="493"/>
      <c r="AA68" s="493"/>
      <c r="AB68" s="493"/>
      <c r="AC68" s="493"/>
      <c r="AD68" s="493"/>
      <c r="AE68" s="493"/>
      <c r="AF68" s="493"/>
      <c r="AG68" s="493"/>
      <c r="AH68" s="493"/>
      <c r="AI68" s="493"/>
      <c r="AJ68" s="493"/>
      <c r="AM68" s="493"/>
      <c r="AN68" s="493"/>
      <c r="AO68" s="493"/>
      <c r="AP68" s="493"/>
      <c r="AQ68" s="493"/>
      <c r="AR68" s="493"/>
      <c r="AS68" s="493"/>
    </row>
    <row r="69" spans="15:45" ht="12.75">
      <c r="O69" s="493"/>
      <c r="P69" s="493"/>
      <c r="Q69" s="493"/>
      <c r="R69" s="493"/>
      <c r="S69" s="493"/>
      <c r="T69" s="493"/>
      <c r="U69" s="493"/>
      <c r="V69" s="493"/>
      <c r="W69" s="493"/>
      <c r="X69" s="493"/>
      <c r="AA69" s="493"/>
      <c r="AB69" s="493"/>
      <c r="AC69" s="493"/>
      <c r="AD69" s="493"/>
      <c r="AE69" s="493"/>
      <c r="AF69" s="493"/>
      <c r="AG69" s="493"/>
      <c r="AH69" s="493"/>
      <c r="AI69" s="493"/>
      <c r="AJ69" s="493"/>
      <c r="AM69" s="493"/>
      <c r="AN69" s="493"/>
      <c r="AO69" s="493"/>
      <c r="AP69" s="493"/>
      <c r="AQ69" s="493"/>
      <c r="AR69" s="493"/>
      <c r="AS69" s="493"/>
    </row>
    <row r="70" spans="15:45" ht="12.75">
      <c r="O70" s="493"/>
      <c r="P70" s="493"/>
      <c r="Q70" s="493"/>
      <c r="R70" s="493"/>
      <c r="S70" s="493"/>
      <c r="T70" s="493"/>
      <c r="U70" s="493"/>
      <c r="V70" s="493"/>
      <c r="W70" s="493"/>
      <c r="X70" s="493"/>
      <c r="AA70" s="493"/>
      <c r="AB70" s="493"/>
      <c r="AC70" s="493"/>
      <c r="AD70" s="493"/>
      <c r="AE70" s="493"/>
      <c r="AF70" s="493"/>
      <c r="AG70" s="493"/>
      <c r="AH70" s="493"/>
      <c r="AI70" s="493"/>
      <c r="AJ70" s="493"/>
      <c r="AM70" s="493"/>
      <c r="AN70" s="493"/>
      <c r="AO70" s="493"/>
      <c r="AP70" s="493"/>
      <c r="AQ70" s="493"/>
      <c r="AR70" s="493"/>
      <c r="AS70" s="493"/>
    </row>
    <row r="71" spans="15:45" ht="12.75">
      <c r="O71" s="493"/>
      <c r="P71" s="493"/>
      <c r="Q71" s="493"/>
      <c r="R71" s="493"/>
      <c r="S71" s="493"/>
      <c r="T71" s="493"/>
      <c r="U71" s="493"/>
      <c r="V71" s="493"/>
      <c r="W71" s="493"/>
      <c r="X71" s="493"/>
      <c r="AA71" s="493"/>
      <c r="AB71" s="493"/>
      <c r="AC71" s="493"/>
      <c r="AD71" s="493"/>
      <c r="AE71" s="493"/>
      <c r="AF71" s="493"/>
      <c r="AG71" s="493"/>
      <c r="AH71" s="493"/>
      <c r="AI71" s="493"/>
      <c r="AJ71" s="493"/>
      <c r="AM71" s="493"/>
      <c r="AN71" s="493"/>
      <c r="AO71" s="493"/>
      <c r="AP71" s="493"/>
      <c r="AQ71" s="493"/>
      <c r="AR71" s="493"/>
      <c r="AS71" s="493"/>
    </row>
    <row r="72" spans="15:45" ht="12.75">
      <c r="O72" s="493"/>
      <c r="P72" s="493"/>
      <c r="Q72" s="493"/>
      <c r="R72" s="493"/>
      <c r="S72" s="493"/>
      <c r="T72" s="493"/>
      <c r="U72" s="493"/>
      <c r="V72" s="493"/>
      <c r="W72" s="493"/>
      <c r="X72" s="493"/>
      <c r="AA72" s="493"/>
      <c r="AB72" s="493"/>
      <c r="AC72" s="493"/>
      <c r="AD72" s="493"/>
      <c r="AE72" s="493"/>
      <c r="AF72" s="493"/>
      <c r="AG72" s="493"/>
      <c r="AH72" s="493"/>
      <c r="AI72" s="493"/>
      <c r="AJ72" s="493"/>
      <c r="AM72" s="493"/>
      <c r="AN72" s="493"/>
      <c r="AO72" s="493"/>
      <c r="AP72" s="493"/>
      <c r="AQ72" s="493"/>
      <c r="AR72" s="493"/>
      <c r="AS72" s="493"/>
    </row>
  </sheetData>
  <sheetProtection/>
  <mergeCells count="11">
    <mergeCell ref="B2:AZ2"/>
    <mergeCell ref="B3:AZ3"/>
    <mergeCell ref="AT5:AW5"/>
    <mergeCell ref="B41:AZ41"/>
    <mergeCell ref="AC4:AL4"/>
    <mergeCell ref="AC5:AL5"/>
    <mergeCell ref="C4:M4"/>
    <mergeCell ref="P4:Z4"/>
    <mergeCell ref="C5:M5"/>
    <mergeCell ref="P5:Z5"/>
    <mergeCell ref="AP4:AZ4"/>
  </mergeCells>
  <printOptions horizontalCentered="1"/>
  <pageMargins left="0.6692913385826772" right="0.6692913385826772" top="0.38" bottom="0.16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georgpi</dc:creator>
  <cp:keywords/>
  <dc:description/>
  <cp:lastModifiedBy>MOVE A3</cp:lastModifiedBy>
  <cp:lastPrinted>2013-02-18T14:00:29Z</cp:lastPrinted>
  <dcterms:created xsi:type="dcterms:W3CDTF">2003-09-05T14:33:05Z</dcterms:created>
  <dcterms:modified xsi:type="dcterms:W3CDTF">2017-08-07T10:00:10Z</dcterms:modified>
  <cp:category/>
  <cp:version/>
  <cp:contentType/>
  <cp:contentStatus/>
</cp:coreProperties>
</file>